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9105" yWindow="0" windowWidth="19695" windowHeight="15600" firstSheet="8" activeTab="14"/>
  </bookViews>
  <sheets>
    <sheet name="ОРТ &quot;Ривьера&quot; (гр.А)" sheetId="13" r:id="rId1"/>
    <sheet name="ОРТ &quot;Ривьера&quot; (гр.В)" sheetId="12" r:id="rId2"/>
    <sheet name="ОРТ &quot;Ривьера&quot; (гр.С)" sheetId="11" r:id="rId3"/>
    <sheet name="ОРТ &quot;Ривьера&quot; (гр.D)" sheetId="10" r:id="rId4"/>
    <sheet name="ОРТ &quot;Ривьера&quot; Кубок А" sheetId="14" r:id="rId5"/>
    <sheet name="ОРТ &quot;Ривьера&quot; Кубок В" sheetId="15" r:id="rId6"/>
    <sheet name="ОРТ &quot;Ривьера&quot; Кубок С" sheetId="16" r:id="rId7"/>
    <sheet name="ОРТ &quot;Ривьера&quot; Кубок D" sheetId="17" r:id="rId8"/>
    <sheet name="Итоги ГП России ОРТ Ривьера" sheetId="8" r:id="rId9"/>
    <sheet name="Кубок ВФБ гр.А" sheetId="18" r:id="rId10"/>
    <sheet name="Кубок ВФБ гр.В" sheetId="19" r:id="rId11"/>
    <sheet name="Кубок ВФБ Кубок А" sheetId="20" r:id="rId12"/>
    <sheet name="Кубок ВФБ Кубок В" sheetId="22" r:id="rId13"/>
    <sheet name="Кубок ВФБ Кубок С" sheetId="23" r:id="rId14"/>
    <sheet name="Итоги ГП России Чемпионата ВФБ" sheetId="25" r:id="rId15"/>
  </sheets>
  <calcPr calcId="114210"/>
</workbook>
</file>

<file path=xl/calcChain.xml><?xml version="1.0" encoding="utf-8"?>
<calcChain xmlns="http://schemas.openxmlformats.org/spreadsheetml/2006/main">
  <c r="B24" i="23"/>
  <c r="B20"/>
  <c r="F22"/>
  <c r="F14"/>
  <c r="F6"/>
  <c r="J10"/>
  <c r="B24" i="22"/>
  <c r="B20"/>
  <c r="F22"/>
  <c r="F14"/>
  <c r="F6"/>
  <c r="J10"/>
  <c r="F30" i="20"/>
  <c r="J26"/>
  <c r="N18"/>
  <c r="F22"/>
  <c r="B40"/>
  <c r="F38"/>
  <c r="F14"/>
  <c r="J10"/>
  <c r="F6"/>
  <c r="B36"/>
  <c r="H21" i="19"/>
  <c r="B24" i="17"/>
  <c r="B20"/>
  <c r="F14"/>
  <c r="F6"/>
  <c r="J10"/>
  <c r="F30" i="16"/>
  <c r="B40"/>
  <c r="F38"/>
  <c r="F22"/>
  <c r="J26"/>
  <c r="N18"/>
  <c r="F14"/>
  <c r="J10"/>
  <c r="F6"/>
  <c r="B36"/>
  <c r="B24" i="15"/>
  <c r="F22"/>
  <c r="B20"/>
  <c r="F14"/>
  <c r="J10"/>
  <c r="F6"/>
  <c r="B40" i="14"/>
  <c r="F38"/>
  <c r="B36"/>
  <c r="F30"/>
  <c r="J26"/>
  <c r="F22"/>
  <c r="N18"/>
  <c r="F14"/>
  <c r="J10"/>
  <c r="F6"/>
  <c r="K4" i="19"/>
  <c r="K6"/>
  <c r="F8"/>
  <c r="F6"/>
  <c r="H35"/>
  <c r="J10"/>
  <c r="C18" i="18"/>
  <c r="J6"/>
  <c r="C27"/>
  <c r="J7"/>
  <c r="H35"/>
  <c r="F8"/>
  <c r="G12"/>
  <c r="C26"/>
  <c r="G8"/>
  <c r="H32" i="19"/>
  <c r="H6" i="18"/>
  <c r="C25" i="19"/>
  <c r="F10"/>
  <c r="H6"/>
  <c r="C26"/>
  <c r="H4"/>
  <c r="H30"/>
  <c r="K8"/>
  <c r="H34" i="18"/>
  <c r="H4"/>
  <c r="C22"/>
  <c r="I6"/>
  <c r="H23"/>
  <c r="I4"/>
  <c r="H7"/>
  <c r="C30"/>
  <c r="G14" i="19"/>
  <c r="H10" i="18"/>
  <c r="H19"/>
  <c r="F12" i="19"/>
  <c r="G12"/>
  <c r="G8"/>
  <c r="I4"/>
  <c r="H14"/>
  <c r="G4"/>
  <c r="H27" i="18"/>
  <c r="F12"/>
  <c r="H5"/>
  <c r="H31"/>
  <c r="J8"/>
  <c r="H30"/>
  <c r="G9"/>
  <c r="K12" i="19"/>
  <c r="I12" i="18"/>
  <c r="I13"/>
  <c r="J4"/>
  <c r="C19"/>
  <c r="G10" i="19"/>
  <c r="I6"/>
  <c r="I14"/>
  <c r="F14"/>
  <c r="I12"/>
  <c r="G13"/>
  <c r="H20"/>
  <c r="G5"/>
  <c r="H22" i="18"/>
  <c r="C35"/>
  <c r="H12"/>
  <c r="G4"/>
  <c r="H26"/>
  <c r="I7"/>
  <c r="H18"/>
  <c r="C31"/>
  <c r="C30" i="19"/>
  <c r="J4"/>
  <c r="K10"/>
  <c r="C20"/>
  <c r="I8" i="18"/>
  <c r="I9"/>
  <c r="I8" i="19"/>
  <c r="J6"/>
  <c r="J14"/>
  <c r="C35"/>
  <c r="C41"/>
  <c r="H40"/>
  <c r="H12"/>
  <c r="H10"/>
  <c r="G10" i="18"/>
  <c r="C34"/>
  <c r="F10"/>
  <c r="F11"/>
  <c r="F6"/>
  <c r="F7"/>
  <c r="C23"/>
  <c r="H13"/>
  <c r="G5"/>
  <c r="J10"/>
  <c r="C42" i="19"/>
  <c r="C40"/>
  <c r="H41"/>
  <c r="H26"/>
  <c r="C37"/>
  <c r="J8"/>
  <c r="J9"/>
  <c r="G11" i="18"/>
  <c r="F13"/>
  <c r="C21" i="19"/>
  <c r="H27"/>
  <c r="C27"/>
  <c r="H31"/>
  <c r="C36"/>
  <c r="H22"/>
  <c r="H25"/>
  <c r="C32"/>
  <c r="H36"/>
  <c r="C31"/>
  <c r="H37"/>
  <c r="C22"/>
  <c r="K6" i="18"/>
  <c r="J11"/>
  <c r="K11" i="19"/>
  <c r="H42"/>
  <c r="I5"/>
  <c r="K9"/>
  <c r="J11"/>
  <c r="H4" i="13"/>
  <c r="I12"/>
  <c r="G12"/>
  <c r="H6"/>
  <c r="C19"/>
  <c r="I8" i="12"/>
  <c r="I12"/>
  <c r="F6"/>
  <c r="H12"/>
  <c r="J4"/>
  <c r="G12"/>
  <c r="I4"/>
  <c r="C35" i="11"/>
  <c r="H10"/>
  <c r="I4"/>
  <c r="H11"/>
  <c r="F12"/>
  <c r="I6" i="10"/>
  <c r="C22"/>
  <c r="J4"/>
  <c r="H19"/>
  <c r="C31"/>
  <c r="J10"/>
  <c r="C23"/>
  <c r="H30"/>
  <c r="C30" i="11"/>
  <c r="H31"/>
  <c r="H34" i="12"/>
  <c r="H22"/>
  <c r="C18" i="13"/>
  <c r="F10" i="11"/>
  <c r="H12" i="10"/>
  <c r="H6"/>
  <c r="H35"/>
  <c r="C26" i="11"/>
  <c r="C23" i="13"/>
  <c r="H23"/>
  <c r="H10"/>
  <c r="I13"/>
  <c r="G4" i="12"/>
  <c r="C34"/>
  <c r="I6"/>
  <c r="H18" i="11"/>
  <c r="H30"/>
  <c r="C27"/>
  <c r="H26"/>
  <c r="I8" i="10"/>
  <c r="G10"/>
  <c r="G4"/>
  <c r="G12"/>
  <c r="G13"/>
  <c r="H27"/>
  <c r="C19"/>
  <c r="H22" i="11"/>
  <c r="C30" i="13"/>
  <c r="H11" i="19"/>
  <c r="J5"/>
  <c r="G11"/>
  <c r="G9"/>
  <c r="H5"/>
  <c r="F7"/>
  <c r="C35" i="13"/>
  <c r="G13"/>
  <c r="C22"/>
  <c r="F8"/>
  <c r="F10"/>
  <c r="H6" i="12"/>
  <c r="G5"/>
  <c r="J6"/>
  <c r="J8"/>
  <c r="J10" i="11"/>
  <c r="G4"/>
  <c r="C34"/>
  <c r="G10"/>
  <c r="G11"/>
  <c r="J6"/>
  <c r="H4" i="10"/>
  <c r="F12"/>
  <c r="H13"/>
  <c r="I7"/>
  <c r="H31"/>
  <c r="H35" i="11"/>
  <c r="C31" i="12"/>
  <c r="J10" i="13"/>
  <c r="J11"/>
  <c r="F12"/>
  <c r="C26"/>
  <c r="H10" i="12"/>
  <c r="H11"/>
  <c r="G10"/>
  <c r="G11"/>
  <c r="F10"/>
  <c r="G8" i="11"/>
  <c r="G9"/>
  <c r="J6" i="10"/>
  <c r="H34"/>
  <c r="H34" i="11"/>
  <c r="C18" i="12"/>
  <c r="H19" i="13"/>
  <c r="H18"/>
  <c r="G8"/>
  <c r="G9"/>
  <c r="J6"/>
  <c r="H12"/>
  <c r="H13"/>
  <c r="H18" i="12"/>
  <c r="H30"/>
  <c r="I9"/>
  <c r="I8" i="11"/>
  <c r="I9"/>
  <c r="C22"/>
  <c r="F8"/>
  <c r="F9"/>
  <c r="H19"/>
  <c r="C19"/>
  <c r="H5" i="10"/>
  <c r="I4"/>
  <c r="I9"/>
  <c r="G11"/>
  <c r="I12"/>
  <c r="H23"/>
  <c r="C31" i="11"/>
  <c r="H23" i="12"/>
  <c r="C27" i="13"/>
  <c r="H13" i="19"/>
  <c r="I13"/>
  <c r="J5" i="18"/>
  <c r="F13" i="19"/>
  <c r="H7"/>
  <c r="F9"/>
  <c r="J15"/>
  <c r="F15"/>
  <c r="K13"/>
  <c r="H11" i="18"/>
  <c r="F11" i="19"/>
  <c r="K7"/>
  <c r="J7"/>
  <c r="I15"/>
  <c r="J9" i="18"/>
  <c r="G15" i="19"/>
  <c r="G13" i="18"/>
  <c r="K5" i="19"/>
  <c r="J8" i="13"/>
  <c r="J9"/>
  <c r="G4"/>
  <c r="F6"/>
  <c r="F7"/>
  <c r="I4"/>
  <c r="H11"/>
  <c r="H22"/>
  <c r="H31"/>
  <c r="C35" i="12"/>
  <c r="H4"/>
  <c r="G8"/>
  <c r="G9"/>
  <c r="C22"/>
  <c r="F8"/>
  <c r="F9"/>
  <c r="H19"/>
  <c r="C26"/>
  <c r="I6" i="11"/>
  <c r="I7"/>
  <c r="I12"/>
  <c r="F6"/>
  <c r="I13"/>
  <c r="F7"/>
  <c r="H18" i="10"/>
  <c r="F6"/>
  <c r="F8"/>
  <c r="C35"/>
  <c r="G5"/>
  <c r="F10"/>
  <c r="F11"/>
  <c r="I5"/>
  <c r="H10"/>
  <c r="C27"/>
  <c r="H22"/>
  <c r="C18" i="11"/>
  <c r="C30" i="12"/>
  <c r="H31"/>
  <c r="C31" i="13"/>
  <c r="C34"/>
  <c r="I6"/>
  <c r="I7"/>
  <c r="H27"/>
  <c r="G5"/>
  <c r="I8"/>
  <c r="G10"/>
  <c r="G11"/>
  <c r="J4"/>
  <c r="J5"/>
  <c r="H26"/>
  <c r="J10" i="12"/>
  <c r="J11"/>
  <c r="H27"/>
  <c r="H7"/>
  <c r="I13"/>
  <c r="F7"/>
  <c r="H13"/>
  <c r="F12"/>
  <c r="H4" i="11"/>
  <c r="H5"/>
  <c r="H6"/>
  <c r="H7"/>
  <c r="J11"/>
  <c r="G5"/>
  <c r="H12"/>
  <c r="H13"/>
  <c r="J4"/>
  <c r="G12"/>
  <c r="J8" i="10"/>
  <c r="J9"/>
  <c r="G8"/>
  <c r="G9"/>
  <c r="F7"/>
  <c r="C18"/>
  <c r="H26"/>
  <c r="F9"/>
  <c r="C30"/>
  <c r="H7"/>
  <c r="C34"/>
  <c r="C23" i="11"/>
  <c r="H23"/>
  <c r="H35" i="12"/>
  <c r="C19"/>
  <c r="H34" i="13"/>
  <c r="H30"/>
  <c r="H5"/>
  <c r="C27" i="12"/>
  <c r="H26"/>
  <c r="J8" i="11"/>
  <c r="J9"/>
  <c r="H27"/>
  <c r="J5" i="10"/>
  <c r="C26"/>
  <c r="C23" i="12"/>
  <c r="H35" i="13"/>
  <c r="I9" i="19"/>
  <c r="I7"/>
  <c r="H15"/>
  <c r="I5" i="18"/>
  <c r="F9"/>
  <c r="K8"/>
  <c r="K4"/>
  <c r="K12"/>
  <c r="L10" i="19"/>
  <c r="K10" i="18"/>
  <c r="L14" i="19"/>
  <c r="L8"/>
  <c r="L12"/>
  <c r="L6"/>
  <c r="L4"/>
  <c r="K8" i="11"/>
  <c r="K8" i="10"/>
  <c r="K4"/>
  <c r="F13" i="12"/>
  <c r="I9" i="13"/>
  <c r="J7" i="10"/>
  <c r="J7" i="12"/>
  <c r="I5"/>
  <c r="J11" i="10"/>
  <c r="J5" i="11"/>
  <c r="J7"/>
  <c r="F13"/>
  <c r="H11" i="10"/>
  <c r="F11" i="12"/>
  <c r="F11" i="13"/>
  <c r="I7" i="12"/>
  <c r="G13"/>
  <c r="I13" i="10"/>
  <c r="J9" i="12"/>
  <c r="H5"/>
  <c r="F13" i="13"/>
  <c r="F9"/>
  <c r="F11" i="11"/>
  <c r="J5" i="12"/>
  <c r="G13" i="11"/>
  <c r="I5" i="13"/>
  <c r="F13" i="10"/>
  <c r="H7" i="13"/>
  <c r="J7"/>
  <c r="I5" i="11"/>
  <c r="K4"/>
  <c r="K6" i="13"/>
  <c r="K12" i="10"/>
  <c r="K4" i="13"/>
  <c r="K10" i="11"/>
  <c r="K8" i="13"/>
  <c r="K12"/>
  <c r="K4" i="12"/>
  <c r="K8"/>
  <c r="K6"/>
  <c r="K10" i="13"/>
  <c r="K10" i="12"/>
  <c r="K10" i="10"/>
  <c r="K12" i="11"/>
  <c r="K6"/>
  <c r="K6" i="10"/>
  <c r="K12" i="12"/>
</calcChain>
</file>

<file path=xl/sharedStrings.xml><?xml version="1.0" encoding="utf-8"?>
<sst xmlns="http://schemas.openxmlformats.org/spreadsheetml/2006/main" count="514" uniqueCount="140">
  <si>
    <t>Команда</t>
  </si>
  <si>
    <t>победы</t>
  </si>
  <si>
    <t>доп</t>
  </si>
  <si>
    <t>место</t>
  </si>
  <si>
    <t>Тур 1</t>
  </si>
  <si>
    <t>дор.</t>
  </si>
  <si>
    <t>Тур 2</t>
  </si>
  <si>
    <t>Тур 3</t>
  </si>
  <si>
    <t>Тур 4</t>
  </si>
  <si>
    <t>Тур 5</t>
  </si>
  <si>
    <t>Капран-Индаяти Сергей</t>
  </si>
  <si>
    <t>Нечаев Максим</t>
  </si>
  <si>
    <t>Лукин Сергей</t>
  </si>
  <si>
    <t>Ерёмин Павел</t>
  </si>
  <si>
    <t>Валибуз Пьер</t>
  </si>
  <si>
    <t>Борисенко Дмитрий</t>
  </si>
  <si>
    <t>Фёдорова Анна</t>
  </si>
  <si>
    <t>Кукушкина Галина</t>
  </si>
  <si>
    <t>Кочетова Валерия</t>
  </si>
  <si>
    <t>1/0</t>
  </si>
  <si>
    <t>0/1</t>
  </si>
  <si>
    <t>РФСОО "Всероссийская федерация боулспорта"</t>
  </si>
  <si>
    <t>Место</t>
  </si>
  <si>
    <t>ФИО</t>
  </si>
  <si>
    <t>Регион</t>
  </si>
  <si>
    <t>Очки Гран-При России по петанку</t>
  </si>
  <si>
    <t>Ставропольский край</t>
  </si>
  <si>
    <t>Краснодарский край</t>
  </si>
  <si>
    <t>Санкт-Петербург</t>
  </si>
  <si>
    <t>Главный судья          ____________        С.В.Капран-Индаяти</t>
  </si>
  <si>
    <t>Волгоградская область</t>
  </si>
  <si>
    <t>Главный секретарь  ____________        М.А.Нечаев</t>
  </si>
  <si>
    <t>Лукина Лариса</t>
  </si>
  <si>
    <t/>
  </si>
  <si>
    <t>Грейцер - Хлынина</t>
  </si>
  <si>
    <t>Нечаев - Кочетова</t>
  </si>
  <si>
    <t>Ерёмин - Балашова</t>
  </si>
  <si>
    <t>Татьянц - Мыльцева (ст.)</t>
  </si>
  <si>
    <t>Чугунов - Семченкова</t>
  </si>
  <si>
    <t>Багдасарян - Заленская</t>
  </si>
  <si>
    <t>Анухин - Лукина</t>
  </si>
  <si>
    <t>Шустваль - Дегтярёва Л.</t>
  </si>
  <si>
    <t xml:space="preserve">Помазан Г. - Помазан Л. </t>
  </si>
  <si>
    <t>Шардаков - Власова</t>
  </si>
  <si>
    <t>Соколовский - Сапронова</t>
  </si>
  <si>
    <t>Лукин - Фёдорова</t>
  </si>
  <si>
    <t>Клименко - Цепелева</t>
  </si>
  <si>
    <t>Викторов - Дегтярёва М.</t>
  </si>
  <si>
    <t>Аваков - Кукушкина</t>
  </si>
  <si>
    <t>Дмитриев - Уразметова</t>
  </si>
  <si>
    <t>Капран-Индаяти - Мусина</t>
  </si>
  <si>
    <t>Борисенко - Мор</t>
  </si>
  <si>
    <t>Валибуз - Савельева</t>
  </si>
  <si>
    <t>Гелдиев - Костяная</t>
  </si>
  <si>
    <t>Помазан Г. - Помазан Л.</t>
  </si>
  <si>
    <t xml:space="preserve">Соколовский - Сапронова </t>
  </si>
  <si>
    <t>-</t>
  </si>
  <si>
    <t>ИТОГОВЫЙ ПРОТОКОЛ
Открытый региональный турнир "Ривьера"                                        (петанк-двойка-смешанная),                               г.Анапа, 3 ноября 2024 года</t>
  </si>
  <si>
    <t>Мусина Ева</t>
  </si>
  <si>
    <t>Анухин Виктор</t>
  </si>
  <si>
    <t>Чугунов Андрей</t>
  </si>
  <si>
    <t>Семченкова Марина</t>
  </si>
  <si>
    <t>Томская область</t>
  </si>
  <si>
    <t>Шустваль Евгений</t>
  </si>
  <si>
    <t>Дегтярёва Ларина</t>
  </si>
  <si>
    <t>Викторов Андрей</t>
  </si>
  <si>
    <t>Дегтярёва Мила</t>
  </si>
  <si>
    <t>Гелдиев Роман</t>
  </si>
  <si>
    <t>Костяная Евгения</t>
  </si>
  <si>
    <t>Соколовский Павел</t>
  </si>
  <si>
    <t>Сапронова Марина</t>
  </si>
  <si>
    <t>Аваков Давид</t>
  </si>
  <si>
    <t>Балашова Марина</t>
  </si>
  <si>
    <t>Мор Лариса</t>
  </si>
  <si>
    <t>Савельева Лариса</t>
  </si>
  <si>
    <t>Шардаков Евгений</t>
  </si>
  <si>
    <t>Власова Елена</t>
  </si>
  <si>
    <t>Помазан Геннадий</t>
  </si>
  <si>
    <t>Помазан Лидия</t>
  </si>
  <si>
    <t>Татьянц Дмитрий</t>
  </si>
  <si>
    <t>Мыльцева Ольга (ст.)</t>
  </si>
  <si>
    <t>15-16</t>
  </si>
  <si>
    <t>17-20</t>
  </si>
  <si>
    <t>Грейцер Роман</t>
  </si>
  <si>
    <t>Багдасарян Дмитрий</t>
  </si>
  <si>
    <t>Клименко Владимир</t>
  </si>
  <si>
    <t xml:space="preserve">Цепелева Татьяна </t>
  </si>
  <si>
    <t>Дмитриев Геннадий</t>
  </si>
  <si>
    <t>Уразметова Ирина</t>
  </si>
  <si>
    <t>Зеленина - Погорелова - Валибуз И.</t>
  </si>
  <si>
    <t>Нечаев - Кочетова - Борисенко</t>
  </si>
  <si>
    <t>Лукин - Шустваль - Помазан</t>
  </si>
  <si>
    <t>Пищанский - Фёдорова - Семченкова</t>
  </si>
  <si>
    <t>Гелдиев - Деревянных - Костяная</t>
  </si>
  <si>
    <t>Кубок ВФБ петанк-тройка, г.Геленджик, 4 ноября 2024 года. Группа А</t>
  </si>
  <si>
    <t>Открытый региональный турнир "Ривьера"                                  (петанк-двойка-смешанная), г.Анапа, 3 ноября 2024 года. Группа А</t>
  </si>
  <si>
    <t>Открытый региональный турнир "Ривьера"                                  (петанк-двойка-смешанная), г.Анапа, 3 ноября 2024 года. Группа В</t>
  </si>
  <si>
    <t>Открытый региональный турнир "Ривьера"                                     (петанк-двойка-смешанная), г.Анапа, 3 ноября 2024 года. Группа С</t>
  </si>
  <si>
    <t>Открытый региональный турнир "Ривьера"                                        (петанк-двойка-смешанная), г.Анапа, 3 ноября 2024 года. Группа D</t>
  </si>
  <si>
    <t>Дегтярёва Л. - Дегтярёва М. - Цепелева</t>
  </si>
  <si>
    <t>Капран-Индаяти - Клименко - Лукина</t>
  </si>
  <si>
    <t>Ерёмин - Викторов - Анухин</t>
  </si>
  <si>
    <t>Татьянц - Мыльцева (ст.) - Мыльцева (мл.)</t>
  </si>
  <si>
    <t>Танчин - Балашова - Валибуз П.</t>
  </si>
  <si>
    <t>Нечепуренко В. - Нечепуренко С. - Курганская</t>
  </si>
  <si>
    <t>1/1</t>
  </si>
  <si>
    <t>Кубок ВФБ петанк-тройка, г.Геленджик, 4 ноября 2024 года. Группа В</t>
  </si>
  <si>
    <t>Открытый региональный турнир "Ривьера"                                        (петанк-двойка-смешанная), г.Анапа, 3 ноября 2024 года. Кубок А</t>
  </si>
  <si>
    <t>Открытый региональный турнир "Ривьера"                                        (петанк-двойка-смешанная), г.Анапа, 3 ноября 2024 года. Кубок В</t>
  </si>
  <si>
    <t>Открытый региональный турнир "Ривьера"                                        (петанк-двойка-смешанная), г.Анапа, 3 ноября 2024 года. Кубок С</t>
  </si>
  <si>
    <t>Открытый региональный турнир "Ривьера"                                        (петанк-двойка-смешанная), г.Анапа, 3 ноября 2024 года. Кубок D</t>
  </si>
  <si>
    <t>Пищанский</t>
  </si>
  <si>
    <t>Дегтярёва</t>
  </si>
  <si>
    <t>Лукин</t>
  </si>
  <si>
    <t>Танчин</t>
  </si>
  <si>
    <t>Ерёмин</t>
  </si>
  <si>
    <t>Зеленина</t>
  </si>
  <si>
    <t>Татьянц</t>
  </si>
  <si>
    <t>Нечаев</t>
  </si>
  <si>
    <t>Капран-Индаяти</t>
  </si>
  <si>
    <t>Нечепуренко</t>
  </si>
  <si>
    <t>Гелдиев</t>
  </si>
  <si>
    <t>Кубок ВФБ петанк-тройка, г.Геленджик, 4 ноября 2024 года       Кубок А</t>
  </si>
  <si>
    <t>Кубок ВФБ петанк-тройка, г.Геленджик,                  4 ноября 2024 года                                                        Кубок В</t>
  </si>
  <si>
    <t>Кубок ВФБ петанк-тройка, г.Геленджик,                  4 ноября 2024 года                                                         Кубок С</t>
  </si>
  <si>
    <t>Танчин Виктор</t>
  </si>
  <si>
    <t>Деревянных Александр</t>
  </si>
  <si>
    <t>Дегтярёва Лариса</t>
  </si>
  <si>
    <t>Цепелева Татьяна</t>
  </si>
  <si>
    <t>ИТОГОВЫЙ ПРОТОКОЛ                                                                       Кубок ВФБ петанк-тройка, г.Геленджик,                  4 ноября 2024 года</t>
  </si>
  <si>
    <t>Мыльцева Ольга (мл.)</t>
  </si>
  <si>
    <t>Пищанский Виктор</t>
  </si>
  <si>
    <t>Зеленина Наталия</t>
  </si>
  <si>
    <t>Погорелова Александра</t>
  </si>
  <si>
    <t>Валибуз Ирина</t>
  </si>
  <si>
    <t>Нечепуренко Василий</t>
  </si>
  <si>
    <t>Нечепуренко Семён</t>
  </si>
  <si>
    <t>Курганская Дарья</t>
  </si>
  <si>
    <t>Хлынина Светлана</t>
  </si>
  <si>
    <t>Зеленская Ольга</t>
  </si>
</sst>
</file>

<file path=xl/styles.xml><?xml version="1.0" encoding="utf-8"?>
<styleSheet xmlns="http://schemas.openxmlformats.org/spreadsheetml/2006/main">
  <numFmts count="2">
    <numFmt numFmtId="164" formatCode="\+##;\-##;0"/>
    <numFmt numFmtId="165" formatCode="\+##;\-##"/>
  </numFmts>
  <fonts count="19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22"/>
      <color indexed="8"/>
      <name val="Cambria"/>
      <family val="1"/>
      <charset val="204"/>
    </font>
    <font>
      <b/>
      <sz val="20"/>
      <color indexed="8"/>
      <name val="Cambria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6"/>
      <color indexed="22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sz val="17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4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5" fontId="3" fillId="2" borderId="9" xfId="0" applyNumberFormat="1" applyFont="1" applyFill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5" fontId="3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0" fillId="0" borderId="15" xfId="0" applyBorder="1"/>
    <xf numFmtId="0" fontId="0" fillId="0" borderId="16" xfId="0" applyBorder="1"/>
    <xf numFmtId="0" fontId="8" fillId="0" borderId="9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12" fillId="0" borderId="10" xfId="1" applyFont="1" applyBorder="1"/>
    <xf numFmtId="0" fontId="12" fillId="0" borderId="10" xfId="1" applyFont="1" applyFill="1" applyBorder="1"/>
    <xf numFmtId="0" fontId="8" fillId="0" borderId="1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2" fillId="0" borderId="0" xfId="1" applyFont="1" applyFill="1" applyBorder="1"/>
    <xf numFmtId="0" fontId="8" fillId="0" borderId="2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Border="1"/>
    <xf numFmtId="0" fontId="11" fillId="0" borderId="0" xfId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right" indent="1"/>
    </xf>
    <xf numFmtId="0" fontId="4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1" xfId="1" applyFont="1" applyBorder="1"/>
    <xf numFmtId="0" fontId="12" fillId="0" borderId="28" xfId="1" applyFont="1" applyFill="1" applyBorder="1"/>
    <xf numFmtId="0" fontId="8" fillId="0" borderId="9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49" fontId="3" fillId="0" borderId="1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1" fillId="0" borderId="8" xfId="1" applyFill="1" applyBorder="1" applyAlignment="1">
      <alignment horizontal="center" vertical="center"/>
    </xf>
    <xf numFmtId="0" fontId="11" fillId="0" borderId="11" xfId="1" applyFill="1" applyBorder="1" applyAlignment="1">
      <alignment horizontal="center" vertical="center"/>
    </xf>
    <xf numFmtId="0" fontId="11" fillId="0" borderId="14" xfId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 indent="1"/>
    </xf>
    <xf numFmtId="0" fontId="2" fillId="0" borderId="39" xfId="0" applyFont="1" applyBorder="1" applyAlignment="1">
      <alignment horizontal="left" vertical="center" wrapText="1" indent="1"/>
    </xf>
    <xf numFmtId="0" fontId="2" fillId="0" borderId="40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wrapText="1" indent="1"/>
    </xf>
    <xf numFmtId="0" fontId="2" fillId="0" borderId="33" xfId="0" applyFont="1" applyBorder="1" applyAlignment="1">
      <alignment horizontal="left" vertical="center" wrapText="1" indent="1"/>
    </xf>
    <xf numFmtId="0" fontId="2" fillId="0" borderId="3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left" vertical="center" wrapText="1" indent="1"/>
    </xf>
    <xf numFmtId="0" fontId="2" fillId="0" borderId="30" xfId="0" applyFont="1" applyBorder="1" applyAlignment="1">
      <alignment horizontal="left" vertical="center" wrapText="1" indent="1"/>
    </xf>
    <xf numFmtId="0" fontId="14" fillId="0" borderId="41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17" fillId="0" borderId="38" xfId="0" applyFont="1" applyBorder="1" applyAlignment="1">
      <alignment horizontal="left" vertical="center" wrapText="1" indent="1"/>
    </xf>
    <xf numFmtId="0" fontId="17" fillId="0" borderId="39" xfId="0" applyFont="1" applyBorder="1" applyAlignment="1">
      <alignment horizontal="left" vertical="center" wrapText="1" indent="1"/>
    </xf>
    <xf numFmtId="0" fontId="17" fillId="0" borderId="40" xfId="0" applyFont="1" applyBorder="1" applyAlignment="1">
      <alignment horizontal="left" vertical="center" wrapText="1" indent="1"/>
    </xf>
    <xf numFmtId="0" fontId="17" fillId="0" borderId="16" xfId="0" applyFont="1" applyBorder="1" applyAlignment="1">
      <alignment horizontal="left" vertical="center" wrapText="1" indent="1"/>
    </xf>
    <xf numFmtId="0" fontId="17" fillId="0" borderId="33" xfId="0" applyFont="1" applyBorder="1" applyAlignment="1">
      <alignment horizontal="left" vertical="center" wrapText="1" indent="1"/>
    </xf>
    <xf numFmtId="0" fontId="17" fillId="0" borderId="34" xfId="0" applyFont="1" applyBorder="1" applyAlignment="1">
      <alignment horizontal="left" vertical="center" wrapText="1" indent="1"/>
    </xf>
    <xf numFmtId="0" fontId="17" fillId="0" borderId="15" xfId="0" applyFont="1" applyBorder="1" applyAlignment="1">
      <alignment horizontal="left" vertical="center" wrapText="1" indent="1"/>
    </xf>
    <xf numFmtId="0" fontId="17" fillId="0" borderId="29" xfId="0" applyFont="1" applyBorder="1" applyAlignment="1">
      <alignment horizontal="left" vertical="center" wrapText="1" indent="1"/>
    </xf>
    <xf numFmtId="0" fontId="17" fillId="0" borderId="30" xfId="0" applyFont="1" applyBorder="1" applyAlignment="1">
      <alignment horizontal="left" vertical="center" wrapText="1" indent="1"/>
    </xf>
    <xf numFmtId="0" fontId="16" fillId="0" borderId="24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 wrapText="1" indent="1"/>
    </xf>
    <xf numFmtId="0" fontId="3" fillId="0" borderId="39" xfId="0" applyFont="1" applyBorder="1" applyAlignment="1">
      <alignment horizontal="left" vertical="center" wrapText="1" indent="1"/>
    </xf>
    <xf numFmtId="0" fontId="3" fillId="0" borderId="40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33" xfId="0" applyFont="1" applyBorder="1" applyAlignment="1">
      <alignment horizontal="left" vertical="center" wrapText="1" indent="1"/>
    </xf>
    <xf numFmtId="0" fontId="3" fillId="0" borderId="34" xfId="0" applyFont="1" applyBorder="1" applyAlignment="1">
      <alignment horizontal="left" vertical="center" wrapText="1" indent="1"/>
    </xf>
    <xf numFmtId="0" fontId="2" fillId="0" borderId="3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 indent="1"/>
    </xf>
    <xf numFmtId="0" fontId="3" fillId="0" borderId="29" xfId="0" applyFont="1" applyBorder="1" applyAlignment="1">
      <alignment horizontal="left" vertical="center" wrapText="1" indent="1"/>
    </xf>
    <xf numFmtId="0" fontId="3" fillId="0" borderId="30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 shrinkToFit="1"/>
    </xf>
    <xf numFmtId="49" fontId="14" fillId="0" borderId="27" xfId="0" applyNumberFormat="1" applyFont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31" workbookViewId="0">
      <selection activeCell="B39" sqref="B39:E42"/>
    </sheetView>
  </sheetViews>
  <sheetFormatPr defaultRowHeight="15"/>
  <cols>
    <col min="1" max="1" width="4" style="24" customWidth="1"/>
    <col min="2" max="2" width="10.28515625" customWidth="1"/>
    <col min="3" max="10" width="10.7109375" customWidth="1"/>
    <col min="11" max="12" width="10.28515625" customWidth="1"/>
    <col min="13" max="13" width="10.28515625" style="27" customWidth="1"/>
    <col min="14" max="15" width="10.28515625" customWidth="1"/>
  </cols>
  <sheetData>
    <row r="1" spans="2:16" ht="60.75" customHeight="1">
      <c r="B1" s="106" t="s">
        <v>95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34"/>
      <c r="O1" s="34"/>
      <c r="P1" s="34"/>
    </row>
    <row r="2" spans="2:16" ht="15.75" thickBot="1">
      <c r="M2"/>
    </row>
    <row r="3" spans="2:16" ht="30" customHeight="1" thickBot="1">
      <c r="B3" s="47"/>
      <c r="C3" s="86" t="s">
        <v>0</v>
      </c>
      <c r="D3" s="87"/>
      <c r="E3" s="88"/>
      <c r="F3" s="1">
        <v>1</v>
      </c>
      <c r="G3" s="1">
        <v>2</v>
      </c>
      <c r="H3" s="1">
        <v>3</v>
      </c>
      <c r="I3" s="2">
        <v>4</v>
      </c>
      <c r="J3" s="2">
        <v>5</v>
      </c>
      <c r="K3" s="47" t="s">
        <v>1</v>
      </c>
      <c r="L3" s="1" t="s">
        <v>2</v>
      </c>
      <c r="M3" s="3" t="s">
        <v>3</v>
      </c>
    </row>
    <row r="4" spans="2:16" ht="24" customHeight="1">
      <c r="B4" s="89">
        <v>1</v>
      </c>
      <c r="C4" s="91" t="s">
        <v>34</v>
      </c>
      <c r="D4" s="92"/>
      <c r="E4" s="93"/>
      <c r="F4" s="6" t="s">
        <v>33</v>
      </c>
      <c r="G4" s="7" t="str">
        <f ca="1">INDIRECT(ADDRESS(23,6))&amp;":"&amp;INDIRECT(ADDRESS(23,7))</f>
        <v>7:9</v>
      </c>
      <c r="H4" s="7" t="str">
        <f ca="1">INDIRECT(ADDRESS(26,7))&amp;":"&amp;INDIRECT(ADDRESS(26,6))</f>
        <v>8:10</v>
      </c>
      <c r="I4" s="7" t="str">
        <f ca="1">INDIRECT(ADDRESS(30,6))&amp;":"&amp;INDIRECT(ADDRESS(30,7))</f>
        <v>4:13</v>
      </c>
      <c r="J4" s="8" t="str">
        <f ca="1">INDIRECT(ADDRESS(35,7))&amp;":"&amp;INDIRECT(ADDRESS(35,6))</f>
        <v>2:13</v>
      </c>
      <c r="K4" s="97">
        <f ca="1">IF(COUNT(F5:J5)=0,"",COUNTIF(F5:J5,"&gt;0")+0.5*COUNTIF(F5:J5,0))</f>
        <v>0</v>
      </c>
      <c r="L4" s="9"/>
      <c r="M4" s="84">
        <v>5</v>
      </c>
    </row>
    <row r="5" spans="2:16" ht="24" customHeight="1">
      <c r="B5" s="90"/>
      <c r="C5" s="94"/>
      <c r="D5" s="95"/>
      <c r="E5" s="96"/>
      <c r="F5" s="10" t="s">
        <v>33</v>
      </c>
      <c r="G5" s="11">
        <f ca="1">IF(LEN(INDIRECT(ADDRESS(ROW()-1, COLUMN())))=1,"",INDIRECT(ADDRESS(23,6))-INDIRECT(ADDRESS(23,7)))</f>
        <v>-2</v>
      </c>
      <c r="H5" s="11">
        <f ca="1">IF(LEN(INDIRECT(ADDRESS(ROW()-1, COLUMN())))=1,"",INDIRECT(ADDRESS(26,7))-INDIRECT(ADDRESS(26,6)))</f>
        <v>-2</v>
      </c>
      <c r="I5" s="11">
        <f ca="1">IF(LEN(INDIRECT(ADDRESS(ROW()-1, COLUMN())))=1,"",INDIRECT(ADDRESS(30,6))-INDIRECT(ADDRESS(30,7)))</f>
        <v>-9</v>
      </c>
      <c r="J5" s="12">
        <f ca="1">IF(LEN(INDIRECT(ADDRESS(ROW()-1, COLUMN())))=1,"",INDIRECT(ADDRESS(35,7))-INDIRECT(ADDRESS(35,6)))</f>
        <v>-11</v>
      </c>
      <c r="K5" s="98"/>
      <c r="L5" s="11"/>
      <c r="M5" s="85"/>
    </row>
    <row r="6" spans="2:16" ht="24" customHeight="1">
      <c r="B6" s="101">
        <v>2</v>
      </c>
      <c r="C6" s="94" t="s">
        <v>35</v>
      </c>
      <c r="D6" s="95"/>
      <c r="E6" s="96"/>
      <c r="F6" s="13" t="str">
        <f ca="1">INDIRECT(ADDRESS(23,7))&amp;":"&amp;INDIRECT(ADDRESS(23,6))</f>
        <v>9:7</v>
      </c>
      <c r="G6" s="14" t="s">
        <v>33</v>
      </c>
      <c r="H6" s="15" t="str">
        <f ca="1">INDIRECT(ADDRESS(31,6))&amp;":"&amp;INDIRECT(ADDRESS(31,7))</f>
        <v>13:5</v>
      </c>
      <c r="I6" s="15" t="str">
        <f ca="1">INDIRECT(ADDRESS(34,7))&amp;":"&amp;INDIRECT(ADDRESS(34,6))</f>
        <v>13:8</v>
      </c>
      <c r="J6" s="16" t="str">
        <f ca="1">INDIRECT(ADDRESS(18,6))&amp;":"&amp;INDIRECT(ADDRESS(18,7))</f>
        <v>6:7</v>
      </c>
      <c r="K6" s="98">
        <f ca="1">IF(COUNT(F7:J7)=0,"",COUNTIF(F7:J7,"&gt;0")+0.5*COUNTIF(F7:J7,0))</f>
        <v>3</v>
      </c>
      <c r="L6" s="11" t="s">
        <v>20</v>
      </c>
      <c r="M6" s="85">
        <v>2</v>
      </c>
    </row>
    <row r="7" spans="2:16" ht="24" customHeight="1">
      <c r="B7" s="90"/>
      <c r="C7" s="94"/>
      <c r="D7" s="95"/>
      <c r="E7" s="96"/>
      <c r="F7" s="17">
        <f ca="1">IF(LEN(INDIRECT(ADDRESS(ROW()-1, COLUMN())))=1,"",INDIRECT(ADDRESS(23,7))-INDIRECT(ADDRESS(23,6)))</f>
        <v>2</v>
      </c>
      <c r="G7" s="18" t="s">
        <v>33</v>
      </c>
      <c r="H7" s="11">
        <f ca="1">IF(LEN(INDIRECT(ADDRESS(ROW()-1, COLUMN())))=1,"",INDIRECT(ADDRESS(31,6))-INDIRECT(ADDRESS(31,7)))</f>
        <v>8</v>
      </c>
      <c r="I7" s="11">
        <f ca="1">IF(LEN(INDIRECT(ADDRESS(ROW()-1, COLUMN())))=1,"",INDIRECT(ADDRESS(34,7))-INDIRECT(ADDRESS(34,6)))</f>
        <v>5</v>
      </c>
      <c r="J7" s="12">
        <f ca="1">IF(LEN(INDIRECT(ADDRESS(ROW()-1, COLUMN())))=1,"",INDIRECT(ADDRESS(18,6))-INDIRECT(ADDRESS(18,7)))</f>
        <v>-1</v>
      </c>
      <c r="K7" s="98"/>
      <c r="L7" s="11"/>
      <c r="M7" s="85"/>
    </row>
    <row r="8" spans="2:16" ht="24" customHeight="1">
      <c r="B8" s="101">
        <v>3</v>
      </c>
      <c r="C8" s="94" t="s">
        <v>36</v>
      </c>
      <c r="D8" s="95"/>
      <c r="E8" s="96"/>
      <c r="F8" s="13" t="str">
        <f ca="1">INDIRECT(ADDRESS(26,6))&amp;":"&amp;INDIRECT(ADDRESS(26,7))</f>
        <v>10:8</v>
      </c>
      <c r="G8" s="15" t="str">
        <f ca="1">INDIRECT(ADDRESS(31,7))&amp;":"&amp;INDIRECT(ADDRESS(31,6))</f>
        <v>5:13</v>
      </c>
      <c r="H8" s="14" t="s">
        <v>33</v>
      </c>
      <c r="I8" s="15" t="str">
        <f ca="1">INDIRECT(ADDRESS(19,6))&amp;":"&amp;INDIRECT(ADDRESS(19,7))</f>
        <v>9:13</v>
      </c>
      <c r="J8" s="16" t="str">
        <f ca="1">INDIRECT(ADDRESS(22,7))&amp;":"&amp;INDIRECT(ADDRESS(22,6))</f>
        <v>12:9</v>
      </c>
      <c r="K8" s="98">
        <f ca="1">IF(COUNT(F9:J9)=0,"",COUNTIF(F9:J9,"&gt;0")+0.5*COUNTIF(F9:J9,0))</f>
        <v>2</v>
      </c>
      <c r="L8" s="11" t="s">
        <v>20</v>
      </c>
      <c r="M8" s="85">
        <v>4</v>
      </c>
    </row>
    <row r="9" spans="2:16" ht="24" customHeight="1">
      <c r="B9" s="90"/>
      <c r="C9" s="94"/>
      <c r="D9" s="95"/>
      <c r="E9" s="96"/>
      <c r="F9" s="17">
        <f ca="1">IF(LEN(INDIRECT(ADDRESS(ROW()-1, COLUMN())))=1,"",INDIRECT(ADDRESS(26,6))-INDIRECT(ADDRESS(26,7)))</f>
        <v>2</v>
      </c>
      <c r="G9" s="11">
        <f ca="1">IF(LEN(INDIRECT(ADDRESS(ROW()-1, COLUMN())))=1,"",INDIRECT(ADDRESS(31,7))-INDIRECT(ADDRESS(31,6)))</f>
        <v>-8</v>
      </c>
      <c r="H9" s="18" t="s">
        <v>33</v>
      </c>
      <c r="I9" s="11">
        <f ca="1">IF(LEN(INDIRECT(ADDRESS(ROW()-1, COLUMN())))=1,"",INDIRECT(ADDRESS(19,6))-INDIRECT(ADDRESS(19,7)))</f>
        <v>-4</v>
      </c>
      <c r="J9" s="12">
        <f ca="1">IF(LEN(INDIRECT(ADDRESS(ROW()-1, COLUMN())))=1,"",INDIRECT(ADDRESS(22,7))-INDIRECT(ADDRESS(22,6)))</f>
        <v>3</v>
      </c>
      <c r="K9" s="98"/>
      <c r="L9" s="11"/>
      <c r="M9" s="85"/>
    </row>
    <row r="10" spans="2:16" ht="24" customHeight="1">
      <c r="B10" s="101">
        <v>4</v>
      </c>
      <c r="C10" s="94" t="s">
        <v>37</v>
      </c>
      <c r="D10" s="95"/>
      <c r="E10" s="96"/>
      <c r="F10" s="13" t="str">
        <f ca="1">INDIRECT(ADDRESS(30,7))&amp;":"&amp;INDIRECT(ADDRESS(30,6))</f>
        <v>13:4</v>
      </c>
      <c r="G10" s="15" t="str">
        <f ca="1">INDIRECT(ADDRESS(34,6))&amp;":"&amp;INDIRECT(ADDRESS(34,7))</f>
        <v>8:13</v>
      </c>
      <c r="H10" s="15" t="str">
        <f ca="1">INDIRECT(ADDRESS(19,7))&amp;":"&amp;INDIRECT(ADDRESS(19,6))</f>
        <v>13:9</v>
      </c>
      <c r="I10" s="14" t="s">
        <v>33</v>
      </c>
      <c r="J10" s="16" t="str">
        <f ca="1">INDIRECT(ADDRESS(27,6))&amp;":"&amp;INDIRECT(ADDRESS(27,7))</f>
        <v>7:10</v>
      </c>
      <c r="K10" s="98">
        <f ca="1">IF(COUNT(F11:J11)=0,"",COUNTIF(F11:J11,"&gt;0")+0.5*COUNTIF(F11:J11,0))</f>
        <v>2</v>
      </c>
      <c r="L10" s="11" t="s">
        <v>19</v>
      </c>
      <c r="M10" s="85">
        <v>3</v>
      </c>
    </row>
    <row r="11" spans="2:16" ht="24" customHeight="1">
      <c r="B11" s="90"/>
      <c r="C11" s="94"/>
      <c r="D11" s="95"/>
      <c r="E11" s="96"/>
      <c r="F11" s="17">
        <f ca="1">IF(LEN(INDIRECT(ADDRESS(ROW()-1, COLUMN())))=1,"",INDIRECT(ADDRESS(30,7))-INDIRECT(ADDRESS(30,6)))</f>
        <v>9</v>
      </c>
      <c r="G11" s="11">
        <f ca="1">IF(LEN(INDIRECT(ADDRESS(ROW()-1, COLUMN())))=1,"",INDIRECT(ADDRESS(34,6))-INDIRECT(ADDRESS(34,7)))</f>
        <v>-5</v>
      </c>
      <c r="H11" s="11">
        <f ca="1">IF(LEN(INDIRECT(ADDRESS(ROW()-1, COLUMN())))=1,"",INDIRECT(ADDRESS(19,7))-INDIRECT(ADDRESS(19,6)))</f>
        <v>4</v>
      </c>
      <c r="I11" s="18" t="s">
        <v>33</v>
      </c>
      <c r="J11" s="12">
        <f ca="1">IF(LEN(INDIRECT(ADDRESS(ROW()-1, COLUMN())))=1,"",INDIRECT(ADDRESS(27,6))-INDIRECT(ADDRESS(27,7)))</f>
        <v>-3</v>
      </c>
      <c r="K11" s="98"/>
      <c r="L11" s="11"/>
      <c r="M11" s="85"/>
    </row>
    <row r="12" spans="2:16" ht="24" customHeight="1">
      <c r="B12" s="101">
        <v>5</v>
      </c>
      <c r="C12" s="94" t="s">
        <v>38</v>
      </c>
      <c r="D12" s="95"/>
      <c r="E12" s="96"/>
      <c r="F12" s="13" t="str">
        <f ca="1">INDIRECT(ADDRESS(35,6))&amp;":"&amp;INDIRECT(ADDRESS(35,7))</f>
        <v>13:2</v>
      </c>
      <c r="G12" s="15" t="str">
        <f ca="1">INDIRECT(ADDRESS(18,7))&amp;":"&amp;INDIRECT(ADDRESS(18,6))</f>
        <v>7:6</v>
      </c>
      <c r="H12" s="15" t="str">
        <f ca="1">INDIRECT(ADDRESS(22,6))&amp;":"&amp;INDIRECT(ADDRESS(22,7))</f>
        <v>9:12</v>
      </c>
      <c r="I12" s="15" t="str">
        <f ca="1">INDIRECT(ADDRESS(27,7))&amp;":"&amp;INDIRECT(ADDRESS(27,6))</f>
        <v>10:7</v>
      </c>
      <c r="J12" s="25" t="s">
        <v>33</v>
      </c>
      <c r="K12" s="98">
        <f ca="1">IF(COUNT(F13:J13)=0,"",COUNTIF(F13:J13,"&gt;0")+0.5*COUNTIF(F13:J13,0))</f>
        <v>3</v>
      </c>
      <c r="L12" s="11" t="s">
        <v>19</v>
      </c>
      <c r="M12" s="85">
        <v>1</v>
      </c>
    </row>
    <row r="13" spans="2:16" ht="24" customHeight="1" thickBot="1">
      <c r="B13" s="107"/>
      <c r="C13" s="108"/>
      <c r="D13" s="109"/>
      <c r="E13" s="110"/>
      <c r="F13" s="19">
        <f ca="1">IF(LEN(INDIRECT(ADDRESS(ROW()-1, COLUMN())))=1,"",INDIRECT(ADDRESS(35,6))-INDIRECT(ADDRESS(35,7)))</f>
        <v>11</v>
      </c>
      <c r="G13" s="20">
        <f ca="1">IF(LEN(INDIRECT(ADDRESS(ROW()-1, COLUMN())))=1,"",INDIRECT(ADDRESS(18,7))-INDIRECT(ADDRESS(18,6)))</f>
        <v>1</v>
      </c>
      <c r="H13" s="20">
        <f ca="1">IF(LEN(INDIRECT(ADDRESS(ROW()-1, COLUMN())))=1,"",INDIRECT(ADDRESS(22,6))-INDIRECT(ADDRESS(22,7)))</f>
        <v>-3</v>
      </c>
      <c r="I13" s="20">
        <f ca="1">IF(LEN(INDIRECT(ADDRESS(ROW()-1, COLUMN())))=1,"",INDIRECT(ADDRESS(27,7))-INDIRECT(ADDRESS(27,6)))</f>
        <v>3</v>
      </c>
      <c r="J13" s="21" t="s">
        <v>33</v>
      </c>
      <c r="K13" s="99"/>
      <c r="L13" s="20"/>
      <c r="M13" s="100"/>
    </row>
    <row r="14" spans="2:16">
      <c r="M14"/>
    </row>
    <row r="15" spans="2:16">
      <c r="M15"/>
    </row>
    <row r="16" spans="2:16">
      <c r="M16"/>
    </row>
    <row r="17" spans="1:13" s="50" customFormat="1" ht="30" customHeight="1" thickBot="1">
      <c r="A17" s="49"/>
      <c r="B17" s="105" t="s">
        <v>4</v>
      </c>
      <c r="C17" s="105"/>
      <c r="D17" s="105"/>
      <c r="E17" s="105"/>
      <c r="F17" s="105"/>
      <c r="G17" s="105"/>
      <c r="H17" s="105"/>
      <c r="I17" s="105"/>
      <c r="J17" s="105"/>
      <c r="K17" s="105"/>
      <c r="M17" s="51"/>
    </row>
    <row r="18" spans="1:13" s="50" customFormat="1" ht="30" customHeight="1" thickBot="1">
      <c r="A18" s="49"/>
      <c r="B18" s="52">
        <v>2</v>
      </c>
      <c r="C18" s="102" t="str">
        <f ca="1">IF(ISBLANK(INDIRECT(ADDRESS(B18*2+2,3))),"",INDIRECT(ADDRESS(B18*2+2,3)))</f>
        <v>Нечаев - Кочетова</v>
      </c>
      <c r="D18" s="102"/>
      <c r="E18" s="103"/>
      <c r="F18" s="53">
        <v>6</v>
      </c>
      <c r="G18" s="54">
        <v>7</v>
      </c>
      <c r="H18" s="104" t="str">
        <f ca="1">IF(ISBLANK(INDIRECT(ADDRESS(K18*2+2,3))),"",INDIRECT(ADDRESS(K18*2+2,3)))</f>
        <v>Чугунов - Семченкова</v>
      </c>
      <c r="I18" s="102"/>
      <c r="J18" s="102"/>
      <c r="K18" s="52">
        <v>5</v>
      </c>
      <c r="L18" s="55" t="s">
        <v>5</v>
      </c>
      <c r="M18" s="48">
        <v>1</v>
      </c>
    </row>
    <row r="19" spans="1:13" s="50" customFormat="1" ht="30" customHeight="1" thickBot="1">
      <c r="A19" s="49"/>
      <c r="B19" s="52">
        <v>3</v>
      </c>
      <c r="C19" s="102" t="str">
        <f ca="1">IF(ISBLANK(INDIRECT(ADDRESS(B19*2+2,3))),"",INDIRECT(ADDRESS(B19*2+2,3)))</f>
        <v>Ерёмин - Балашова</v>
      </c>
      <c r="D19" s="102"/>
      <c r="E19" s="103"/>
      <c r="F19" s="53">
        <v>9</v>
      </c>
      <c r="G19" s="54">
        <v>13</v>
      </c>
      <c r="H19" s="104" t="str">
        <f ca="1">IF(ISBLANK(INDIRECT(ADDRESS(K19*2+2,3))),"",INDIRECT(ADDRESS(K19*2+2,3)))</f>
        <v>Татьянц - Мыльцева (ст.)</v>
      </c>
      <c r="I19" s="102"/>
      <c r="J19" s="102"/>
      <c r="K19" s="52">
        <v>4</v>
      </c>
      <c r="L19" s="55" t="s">
        <v>5</v>
      </c>
      <c r="M19" s="48">
        <v>2</v>
      </c>
    </row>
    <row r="20" spans="1:13" s="50" customFormat="1" ht="30" customHeight="1">
      <c r="A20" s="49"/>
      <c r="M20" s="56"/>
    </row>
    <row r="21" spans="1:13" s="50" customFormat="1" ht="30" customHeight="1" thickBot="1">
      <c r="A21" s="49"/>
      <c r="B21" s="105" t="s">
        <v>6</v>
      </c>
      <c r="C21" s="105"/>
      <c r="D21" s="105"/>
      <c r="E21" s="105"/>
      <c r="F21" s="105"/>
      <c r="G21" s="105"/>
      <c r="H21" s="105"/>
      <c r="I21" s="105"/>
      <c r="J21" s="105"/>
      <c r="K21" s="105"/>
      <c r="M21" s="56"/>
    </row>
    <row r="22" spans="1:13" s="50" customFormat="1" ht="30" customHeight="1" thickBot="1">
      <c r="A22" s="49"/>
      <c r="B22" s="52">
        <v>5</v>
      </c>
      <c r="C22" s="102" t="str">
        <f ca="1">IF(ISBLANK(INDIRECT(ADDRESS(B22*2+2,3))),"",INDIRECT(ADDRESS(B22*2+2,3)))</f>
        <v>Чугунов - Семченкова</v>
      </c>
      <c r="D22" s="102"/>
      <c r="E22" s="103"/>
      <c r="F22" s="53">
        <v>9</v>
      </c>
      <c r="G22" s="54">
        <v>12</v>
      </c>
      <c r="H22" s="104" t="str">
        <f ca="1">IF(ISBLANK(INDIRECT(ADDRESS(K22*2+2,3))),"",INDIRECT(ADDRESS(K22*2+2,3)))</f>
        <v>Ерёмин - Балашова</v>
      </c>
      <c r="I22" s="102"/>
      <c r="J22" s="102"/>
      <c r="K22" s="52">
        <v>3</v>
      </c>
      <c r="L22" s="55" t="s">
        <v>5</v>
      </c>
      <c r="M22" s="48">
        <v>3</v>
      </c>
    </row>
    <row r="23" spans="1:13" s="50" customFormat="1" ht="30" customHeight="1" thickBot="1">
      <c r="A23" s="49"/>
      <c r="B23" s="52">
        <v>1</v>
      </c>
      <c r="C23" s="102" t="str">
        <f ca="1">IF(ISBLANK(INDIRECT(ADDRESS(B23*2+2,3))),"",INDIRECT(ADDRESS(B23*2+2,3)))</f>
        <v>Грейцер - Хлынина</v>
      </c>
      <c r="D23" s="102"/>
      <c r="E23" s="103"/>
      <c r="F23" s="53">
        <v>7</v>
      </c>
      <c r="G23" s="54">
        <v>9</v>
      </c>
      <c r="H23" s="104" t="str">
        <f ca="1">IF(ISBLANK(INDIRECT(ADDRESS(K23*2+2,3))),"",INDIRECT(ADDRESS(K23*2+2,3)))</f>
        <v>Нечаев - Кочетова</v>
      </c>
      <c r="I23" s="102"/>
      <c r="J23" s="102"/>
      <c r="K23" s="52">
        <v>2</v>
      </c>
      <c r="L23" s="55" t="s">
        <v>5</v>
      </c>
      <c r="M23" s="48">
        <v>4</v>
      </c>
    </row>
    <row r="24" spans="1:13" s="50" customFormat="1" ht="30" customHeight="1">
      <c r="A24" s="49"/>
      <c r="M24" s="56"/>
    </row>
    <row r="25" spans="1:13" s="50" customFormat="1" ht="30" customHeight="1" thickBot="1">
      <c r="A25" s="49"/>
      <c r="B25" s="105" t="s">
        <v>7</v>
      </c>
      <c r="C25" s="105"/>
      <c r="D25" s="105"/>
      <c r="E25" s="105"/>
      <c r="F25" s="105"/>
      <c r="G25" s="105"/>
      <c r="H25" s="105"/>
      <c r="I25" s="105"/>
      <c r="J25" s="105"/>
      <c r="K25" s="105"/>
      <c r="M25" s="56"/>
    </row>
    <row r="26" spans="1:13" s="50" customFormat="1" ht="30" customHeight="1" thickBot="1">
      <c r="A26" s="49"/>
      <c r="B26" s="52">
        <v>3</v>
      </c>
      <c r="C26" s="102" t="str">
        <f ca="1">IF(ISBLANK(INDIRECT(ADDRESS(B26*2+2,3))),"",INDIRECT(ADDRESS(B26*2+2,3)))</f>
        <v>Ерёмин - Балашова</v>
      </c>
      <c r="D26" s="102"/>
      <c r="E26" s="103"/>
      <c r="F26" s="53">
        <v>10</v>
      </c>
      <c r="G26" s="54">
        <v>8</v>
      </c>
      <c r="H26" s="104" t="str">
        <f ca="1">IF(ISBLANK(INDIRECT(ADDRESS(K26*2+2,3))),"",INDIRECT(ADDRESS(K26*2+2,3)))</f>
        <v>Грейцер - Хлынина</v>
      </c>
      <c r="I26" s="102"/>
      <c r="J26" s="102"/>
      <c r="K26" s="52">
        <v>1</v>
      </c>
      <c r="L26" s="55" t="s">
        <v>5</v>
      </c>
      <c r="M26" s="48">
        <v>5</v>
      </c>
    </row>
    <row r="27" spans="1:13" s="50" customFormat="1" ht="30" customHeight="1" thickBot="1">
      <c r="A27" s="49"/>
      <c r="B27" s="52">
        <v>4</v>
      </c>
      <c r="C27" s="102" t="str">
        <f ca="1">IF(ISBLANK(INDIRECT(ADDRESS(B27*2+2,3))),"",INDIRECT(ADDRESS(B27*2+2,3)))</f>
        <v>Татьянц - Мыльцева (ст.)</v>
      </c>
      <c r="D27" s="102"/>
      <c r="E27" s="103"/>
      <c r="F27" s="53">
        <v>7</v>
      </c>
      <c r="G27" s="54">
        <v>10</v>
      </c>
      <c r="H27" s="104" t="str">
        <f ca="1">IF(ISBLANK(INDIRECT(ADDRESS(K27*2+2,3))),"",INDIRECT(ADDRESS(K27*2+2,3)))</f>
        <v>Чугунов - Семченкова</v>
      </c>
      <c r="I27" s="102"/>
      <c r="J27" s="102"/>
      <c r="K27" s="52">
        <v>5</v>
      </c>
      <c r="L27" s="55" t="s">
        <v>5</v>
      </c>
      <c r="M27" s="48">
        <v>7</v>
      </c>
    </row>
    <row r="28" spans="1:13" s="50" customFormat="1" ht="30" customHeight="1">
      <c r="A28" s="49"/>
      <c r="M28" s="56"/>
    </row>
    <row r="29" spans="1:13" s="50" customFormat="1" ht="30" customHeight="1" thickBot="1">
      <c r="A29" s="49"/>
      <c r="B29" s="105" t="s">
        <v>8</v>
      </c>
      <c r="C29" s="105"/>
      <c r="D29" s="105"/>
      <c r="E29" s="105"/>
      <c r="F29" s="105"/>
      <c r="G29" s="105"/>
      <c r="H29" s="105"/>
      <c r="I29" s="105"/>
      <c r="J29" s="105"/>
      <c r="K29" s="105"/>
      <c r="M29" s="56"/>
    </row>
    <row r="30" spans="1:13" s="50" customFormat="1" ht="30" customHeight="1" thickBot="1">
      <c r="A30" s="49"/>
      <c r="B30" s="52">
        <v>1</v>
      </c>
      <c r="C30" s="102" t="str">
        <f ca="1">IF(ISBLANK(INDIRECT(ADDRESS(B30*2+2,3))),"",INDIRECT(ADDRESS(B30*2+2,3)))</f>
        <v>Грейцер - Хлынина</v>
      </c>
      <c r="D30" s="102"/>
      <c r="E30" s="103"/>
      <c r="F30" s="53">
        <v>4</v>
      </c>
      <c r="G30" s="54">
        <v>13</v>
      </c>
      <c r="H30" s="104" t="str">
        <f ca="1">IF(ISBLANK(INDIRECT(ADDRESS(K30*2+2,3))),"",INDIRECT(ADDRESS(K30*2+2,3)))</f>
        <v>Татьянц - Мыльцева (ст.)</v>
      </c>
      <c r="I30" s="102"/>
      <c r="J30" s="102"/>
      <c r="K30" s="52">
        <v>4</v>
      </c>
      <c r="L30" s="55" t="s">
        <v>5</v>
      </c>
      <c r="M30" s="48">
        <v>10</v>
      </c>
    </row>
    <row r="31" spans="1:13" s="50" customFormat="1" ht="30" customHeight="1" thickBot="1">
      <c r="A31" s="49"/>
      <c r="B31" s="52">
        <v>2</v>
      </c>
      <c r="C31" s="102" t="str">
        <f ca="1">IF(ISBLANK(INDIRECT(ADDRESS(B31*2+2,3))),"",INDIRECT(ADDRESS(B31*2+2,3)))</f>
        <v>Нечаев - Кочетова</v>
      </c>
      <c r="D31" s="102"/>
      <c r="E31" s="103"/>
      <c r="F31" s="53">
        <v>13</v>
      </c>
      <c r="G31" s="54">
        <v>5</v>
      </c>
      <c r="H31" s="104" t="str">
        <f ca="1">IF(ISBLANK(INDIRECT(ADDRESS(K31*2+2,3))),"",INDIRECT(ADDRESS(K31*2+2,3)))</f>
        <v>Ерёмин - Балашова</v>
      </c>
      <c r="I31" s="102"/>
      <c r="J31" s="102"/>
      <c r="K31" s="52">
        <v>3</v>
      </c>
      <c r="L31" s="55" t="s">
        <v>5</v>
      </c>
      <c r="M31" s="48">
        <v>12</v>
      </c>
    </row>
    <row r="32" spans="1:13" s="50" customFormat="1" ht="30" customHeight="1">
      <c r="A32" s="49"/>
      <c r="M32" s="56"/>
    </row>
    <row r="33" spans="1:13" s="50" customFormat="1" ht="30" customHeight="1" thickBot="1">
      <c r="A33" s="49"/>
      <c r="B33" s="105" t="s">
        <v>9</v>
      </c>
      <c r="C33" s="105"/>
      <c r="D33" s="105"/>
      <c r="E33" s="105"/>
      <c r="F33" s="105"/>
      <c r="G33" s="105"/>
      <c r="H33" s="105"/>
      <c r="I33" s="105"/>
      <c r="J33" s="105"/>
      <c r="K33" s="105"/>
      <c r="M33" s="56"/>
    </row>
    <row r="34" spans="1:13" s="50" customFormat="1" ht="30" customHeight="1" thickBot="1">
      <c r="A34" s="49"/>
      <c r="B34" s="52">
        <v>4</v>
      </c>
      <c r="C34" s="102" t="str">
        <f ca="1">IF(ISBLANK(INDIRECT(ADDRESS(B34*2+2,3))),"",INDIRECT(ADDRESS(B34*2+2,3)))</f>
        <v>Татьянц - Мыльцева (ст.)</v>
      </c>
      <c r="D34" s="102"/>
      <c r="E34" s="103"/>
      <c r="F34" s="53">
        <v>8</v>
      </c>
      <c r="G34" s="54">
        <v>13</v>
      </c>
      <c r="H34" s="104" t="str">
        <f ca="1">IF(ISBLANK(INDIRECT(ADDRESS(K34*2+2,3))),"",INDIRECT(ADDRESS(K34*2+2,3)))</f>
        <v>Нечаев - Кочетова</v>
      </c>
      <c r="I34" s="102"/>
      <c r="J34" s="102"/>
      <c r="K34" s="52">
        <v>2</v>
      </c>
      <c r="L34" s="55" t="s">
        <v>5</v>
      </c>
      <c r="M34" s="48">
        <v>3</v>
      </c>
    </row>
    <row r="35" spans="1:13" s="50" customFormat="1" ht="30" customHeight="1" thickBot="1">
      <c r="A35" s="49"/>
      <c r="B35" s="52">
        <v>5</v>
      </c>
      <c r="C35" s="102" t="str">
        <f ca="1">IF(ISBLANK(INDIRECT(ADDRESS(B35*2+2,3))),"",INDIRECT(ADDRESS(B35*2+2,3)))</f>
        <v>Чугунов - Семченкова</v>
      </c>
      <c r="D35" s="102"/>
      <c r="E35" s="103"/>
      <c r="F35" s="53">
        <v>13</v>
      </c>
      <c r="G35" s="54">
        <v>2</v>
      </c>
      <c r="H35" s="104" t="str">
        <f ca="1">IF(ISBLANK(INDIRECT(ADDRESS(K35*2+2,3))),"",INDIRECT(ADDRESS(K35*2+2,3)))</f>
        <v>Грейцер - Хлынина</v>
      </c>
      <c r="I35" s="102"/>
      <c r="J35" s="102"/>
      <c r="K35" s="52">
        <v>1</v>
      </c>
      <c r="L35" s="55" t="s">
        <v>5</v>
      </c>
      <c r="M35" s="48">
        <v>1</v>
      </c>
    </row>
    <row r="39" spans="1:13" ht="21">
      <c r="B39" s="29" t="s">
        <v>29</v>
      </c>
      <c r="C39" s="29"/>
      <c r="D39" s="29"/>
      <c r="E39" s="29"/>
    </row>
    <row r="40" spans="1:13" ht="21">
      <c r="B40" s="29"/>
      <c r="C40" s="29"/>
      <c r="D40" s="29"/>
      <c r="E40" s="29"/>
    </row>
    <row r="41" spans="1:13" ht="21">
      <c r="B41" s="29"/>
      <c r="C41" s="29"/>
      <c r="D41" s="29"/>
      <c r="E41" s="29"/>
    </row>
    <row r="42" spans="1:13" ht="21">
      <c r="B42" s="29" t="s">
        <v>31</v>
      </c>
      <c r="C42" s="29"/>
      <c r="D42" s="29"/>
      <c r="E42" s="29"/>
    </row>
  </sheetData>
  <sheetCalcPr fullCalcOnLoad="1"/>
  <mergeCells count="47">
    <mergeCell ref="B33:K33"/>
    <mergeCell ref="C34:E34"/>
    <mergeCell ref="H34:J34"/>
    <mergeCell ref="C35:E35"/>
    <mergeCell ref="H35:J35"/>
    <mergeCell ref="B1:M1"/>
    <mergeCell ref="C27:E27"/>
    <mergeCell ref="H27:J27"/>
    <mergeCell ref="B29:K29"/>
    <mergeCell ref="B10:B11"/>
    <mergeCell ref="C10:E11"/>
    <mergeCell ref="K10:K11"/>
    <mergeCell ref="M10:M11"/>
    <mergeCell ref="B12:B13"/>
    <mergeCell ref="C12:E13"/>
    <mergeCell ref="B17:K17"/>
    <mergeCell ref="C18:E18"/>
    <mergeCell ref="H18:J18"/>
    <mergeCell ref="C19:E19"/>
    <mergeCell ref="H19:J19"/>
    <mergeCell ref="B21:K21"/>
    <mergeCell ref="H23:J23"/>
    <mergeCell ref="B25:K25"/>
    <mergeCell ref="C26:E26"/>
    <mergeCell ref="H26:J26"/>
    <mergeCell ref="C30:E30"/>
    <mergeCell ref="H30:J30"/>
    <mergeCell ref="M6:M7"/>
    <mergeCell ref="B8:B9"/>
    <mergeCell ref="C8:E9"/>
    <mergeCell ref="K8:K9"/>
    <mergeCell ref="M8:M9"/>
    <mergeCell ref="C31:E31"/>
    <mergeCell ref="H31:J31"/>
    <mergeCell ref="C22:E22"/>
    <mergeCell ref="H22:J22"/>
    <mergeCell ref="C23:E23"/>
    <mergeCell ref="M4:M5"/>
    <mergeCell ref="C3:E3"/>
    <mergeCell ref="B4:B5"/>
    <mergeCell ref="C4:E5"/>
    <mergeCell ref="K4:K5"/>
    <mergeCell ref="K12:K13"/>
    <mergeCell ref="M12:M13"/>
    <mergeCell ref="B6:B7"/>
    <mergeCell ref="C6:E7"/>
    <mergeCell ref="K6:K7"/>
  </mergeCells>
  <phoneticPr fontId="15" type="noConversion"/>
  <printOptions horizontalCentered="1"/>
  <pageMargins left="0.25" right="0.25" top="0.75" bottom="0.75" header="0.3" footer="0.3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workbookViewId="0">
      <selection activeCell="B1" sqref="B1:M1"/>
    </sheetView>
  </sheetViews>
  <sheetFormatPr defaultRowHeight="15"/>
  <cols>
    <col min="1" max="1" width="4" style="24" customWidth="1"/>
    <col min="2" max="2" width="10.28515625" customWidth="1"/>
    <col min="3" max="10" width="12.28515625" customWidth="1"/>
    <col min="11" max="12" width="10.28515625" customWidth="1"/>
    <col min="13" max="13" width="10.28515625" style="27" customWidth="1"/>
    <col min="14" max="15" width="10.28515625" customWidth="1"/>
  </cols>
  <sheetData>
    <row r="1" spans="2:16" ht="60.75" customHeight="1">
      <c r="B1" s="117" t="s">
        <v>94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66"/>
      <c r="O1" s="66"/>
      <c r="P1" s="34"/>
    </row>
    <row r="2" spans="2:16" ht="15.75" thickBot="1">
      <c r="M2"/>
    </row>
    <row r="3" spans="2:16" ht="30" customHeight="1" thickBot="1">
      <c r="B3" s="47"/>
      <c r="C3" s="86" t="s">
        <v>0</v>
      </c>
      <c r="D3" s="87"/>
      <c r="E3" s="88"/>
      <c r="F3" s="1">
        <v>1</v>
      </c>
      <c r="G3" s="1">
        <v>2</v>
      </c>
      <c r="H3" s="1">
        <v>3</v>
      </c>
      <c r="I3" s="2">
        <v>4</v>
      </c>
      <c r="J3" s="2">
        <v>5</v>
      </c>
      <c r="K3" s="47" t="s">
        <v>1</v>
      </c>
      <c r="L3" s="1" t="s">
        <v>2</v>
      </c>
      <c r="M3" s="3" t="s">
        <v>3</v>
      </c>
    </row>
    <row r="4" spans="2:16" ht="24" customHeight="1">
      <c r="B4" s="89">
        <v>1</v>
      </c>
      <c r="C4" s="118" t="s">
        <v>89</v>
      </c>
      <c r="D4" s="119"/>
      <c r="E4" s="120"/>
      <c r="F4" s="6" t="s">
        <v>33</v>
      </c>
      <c r="G4" s="7" t="str">
        <f ca="1">INDIRECT(ADDRESS(23,6))&amp;":"&amp;INDIRECT(ADDRESS(23,7))</f>
        <v>1:9</v>
      </c>
      <c r="H4" s="7" t="str">
        <f ca="1">INDIRECT(ADDRESS(26,7))&amp;":"&amp;INDIRECT(ADDRESS(26,6))</f>
        <v>4:12</v>
      </c>
      <c r="I4" s="7" t="str">
        <f ca="1">INDIRECT(ADDRESS(30,6))&amp;":"&amp;INDIRECT(ADDRESS(30,7))</f>
        <v>4:12</v>
      </c>
      <c r="J4" s="8" t="str">
        <f ca="1">INDIRECT(ADDRESS(35,7))&amp;":"&amp;INDIRECT(ADDRESS(35,6))</f>
        <v>8:6</v>
      </c>
      <c r="K4" s="97">
        <f ca="1">IF(COUNT(F5:J5)=0,"",COUNTIF(F5:J5,"&gt;0")+0.5*COUNTIF(F5:J5,0))</f>
        <v>1</v>
      </c>
      <c r="L4" s="9"/>
      <c r="M4" s="84">
        <v>4</v>
      </c>
    </row>
    <row r="5" spans="2:16" ht="24" customHeight="1">
      <c r="B5" s="90"/>
      <c r="C5" s="121"/>
      <c r="D5" s="122"/>
      <c r="E5" s="123"/>
      <c r="F5" s="10" t="s">
        <v>33</v>
      </c>
      <c r="G5" s="11">
        <f ca="1">IF(LEN(INDIRECT(ADDRESS(ROW()-1, COLUMN())))=1,"",INDIRECT(ADDRESS(23,6))-INDIRECT(ADDRESS(23,7)))</f>
        <v>-8</v>
      </c>
      <c r="H5" s="11">
        <f ca="1">IF(LEN(INDIRECT(ADDRESS(ROW()-1, COLUMN())))=1,"",INDIRECT(ADDRESS(26,7))-INDIRECT(ADDRESS(26,6)))</f>
        <v>-8</v>
      </c>
      <c r="I5" s="11">
        <f ca="1">IF(LEN(INDIRECT(ADDRESS(ROW()-1, COLUMN())))=1,"",INDIRECT(ADDRESS(30,6))-INDIRECT(ADDRESS(30,7)))</f>
        <v>-8</v>
      </c>
      <c r="J5" s="12">
        <f ca="1">IF(LEN(INDIRECT(ADDRESS(ROW()-1, COLUMN())))=1,"",INDIRECT(ADDRESS(35,7))-INDIRECT(ADDRESS(35,6)))</f>
        <v>2</v>
      </c>
      <c r="K5" s="98"/>
      <c r="L5" s="11"/>
      <c r="M5" s="85"/>
    </row>
    <row r="6" spans="2:16" ht="24" customHeight="1">
      <c r="B6" s="101">
        <v>2</v>
      </c>
      <c r="C6" s="121" t="s">
        <v>90</v>
      </c>
      <c r="D6" s="122"/>
      <c r="E6" s="123"/>
      <c r="F6" s="13" t="str">
        <f ca="1">INDIRECT(ADDRESS(23,7))&amp;":"&amp;INDIRECT(ADDRESS(23,6))</f>
        <v>9:1</v>
      </c>
      <c r="G6" s="14" t="s">
        <v>33</v>
      </c>
      <c r="H6" s="15" t="str">
        <f ca="1">INDIRECT(ADDRESS(31,6))&amp;":"&amp;INDIRECT(ADDRESS(31,7))</f>
        <v>11:8</v>
      </c>
      <c r="I6" s="15" t="str">
        <f ca="1">INDIRECT(ADDRESS(34,7))&amp;":"&amp;INDIRECT(ADDRESS(34,6))</f>
        <v>4:8</v>
      </c>
      <c r="J6" s="16" t="str">
        <f ca="1">INDIRECT(ADDRESS(18,6))&amp;":"&amp;INDIRECT(ADDRESS(18,7))</f>
        <v>10:1</v>
      </c>
      <c r="K6" s="98">
        <f ca="1">IF(COUNT(F7:J7)=0,"",COUNTIF(F7:J7,"&gt;0")+0.5*COUNTIF(F7:J7,0))</f>
        <v>3</v>
      </c>
      <c r="L6" s="11"/>
      <c r="M6" s="85">
        <v>2</v>
      </c>
    </row>
    <row r="7" spans="2:16" ht="24" customHeight="1">
      <c r="B7" s="90"/>
      <c r="C7" s="121"/>
      <c r="D7" s="122"/>
      <c r="E7" s="123"/>
      <c r="F7" s="17">
        <f ca="1">IF(LEN(INDIRECT(ADDRESS(ROW()-1, COLUMN())))=1,"",INDIRECT(ADDRESS(23,7))-INDIRECT(ADDRESS(23,6)))</f>
        <v>8</v>
      </c>
      <c r="G7" s="18" t="s">
        <v>33</v>
      </c>
      <c r="H7" s="11">
        <f ca="1">IF(LEN(INDIRECT(ADDRESS(ROW()-1, COLUMN())))=1,"",INDIRECT(ADDRESS(31,6))-INDIRECT(ADDRESS(31,7)))</f>
        <v>3</v>
      </c>
      <c r="I7" s="11">
        <f ca="1">IF(LEN(INDIRECT(ADDRESS(ROW()-1, COLUMN())))=1,"",INDIRECT(ADDRESS(34,7))-INDIRECT(ADDRESS(34,6)))</f>
        <v>-4</v>
      </c>
      <c r="J7" s="12">
        <f ca="1">IF(LEN(INDIRECT(ADDRESS(ROW()-1, COLUMN())))=1,"",INDIRECT(ADDRESS(18,6))-INDIRECT(ADDRESS(18,7)))</f>
        <v>9</v>
      </c>
      <c r="K7" s="98"/>
      <c r="L7" s="11"/>
      <c r="M7" s="85"/>
    </row>
    <row r="8" spans="2:16" ht="24" customHeight="1">
      <c r="B8" s="101">
        <v>3</v>
      </c>
      <c r="C8" s="121" t="s">
        <v>91</v>
      </c>
      <c r="D8" s="122"/>
      <c r="E8" s="123"/>
      <c r="F8" s="13" t="str">
        <f ca="1">INDIRECT(ADDRESS(26,6))&amp;":"&amp;INDIRECT(ADDRESS(26,7))</f>
        <v>12:4</v>
      </c>
      <c r="G8" s="15" t="str">
        <f ca="1">INDIRECT(ADDRESS(31,7))&amp;":"&amp;INDIRECT(ADDRESS(31,6))</f>
        <v>8:11</v>
      </c>
      <c r="H8" s="14" t="s">
        <v>33</v>
      </c>
      <c r="I8" s="15" t="str">
        <f ca="1">INDIRECT(ADDRESS(19,6))&amp;":"&amp;INDIRECT(ADDRESS(19,7))</f>
        <v>6:7</v>
      </c>
      <c r="J8" s="16" t="str">
        <f ca="1">INDIRECT(ADDRESS(22,7))&amp;":"&amp;INDIRECT(ADDRESS(22,6))</f>
        <v>13:3</v>
      </c>
      <c r="K8" s="98">
        <f ca="1">IF(COUNT(F9:J9)=0,"",COUNTIF(F9:J9,"&gt;0")+0.5*COUNTIF(F9:J9,0))</f>
        <v>2</v>
      </c>
      <c r="L8" s="11"/>
      <c r="M8" s="85">
        <v>3</v>
      </c>
    </row>
    <row r="9" spans="2:16" ht="24" customHeight="1">
      <c r="B9" s="90"/>
      <c r="C9" s="121"/>
      <c r="D9" s="122"/>
      <c r="E9" s="123"/>
      <c r="F9" s="17">
        <f ca="1">IF(LEN(INDIRECT(ADDRESS(ROW()-1, COLUMN())))=1,"",INDIRECT(ADDRESS(26,6))-INDIRECT(ADDRESS(26,7)))</f>
        <v>8</v>
      </c>
      <c r="G9" s="11">
        <f ca="1">IF(LEN(INDIRECT(ADDRESS(ROW()-1, COLUMN())))=1,"",INDIRECT(ADDRESS(31,7))-INDIRECT(ADDRESS(31,6)))</f>
        <v>-3</v>
      </c>
      <c r="H9" s="18" t="s">
        <v>33</v>
      </c>
      <c r="I9" s="11">
        <f ca="1">IF(LEN(INDIRECT(ADDRESS(ROW()-1, COLUMN())))=1,"",INDIRECT(ADDRESS(19,6))-INDIRECT(ADDRESS(19,7)))</f>
        <v>-1</v>
      </c>
      <c r="J9" s="12">
        <f ca="1">IF(LEN(INDIRECT(ADDRESS(ROW()-1, COLUMN())))=1,"",INDIRECT(ADDRESS(22,7))-INDIRECT(ADDRESS(22,6)))</f>
        <v>10</v>
      </c>
      <c r="K9" s="98"/>
      <c r="L9" s="11"/>
      <c r="M9" s="85"/>
    </row>
    <row r="10" spans="2:16" ht="24" customHeight="1">
      <c r="B10" s="101">
        <v>4</v>
      </c>
      <c r="C10" s="121" t="s">
        <v>92</v>
      </c>
      <c r="D10" s="122"/>
      <c r="E10" s="123"/>
      <c r="F10" s="13" t="str">
        <f ca="1">INDIRECT(ADDRESS(30,7))&amp;":"&amp;INDIRECT(ADDRESS(30,6))</f>
        <v>12:4</v>
      </c>
      <c r="G10" s="15" t="str">
        <f ca="1">INDIRECT(ADDRESS(34,6))&amp;":"&amp;INDIRECT(ADDRESS(34,7))</f>
        <v>8:4</v>
      </c>
      <c r="H10" s="15" t="str">
        <f ca="1">INDIRECT(ADDRESS(19,7))&amp;":"&amp;INDIRECT(ADDRESS(19,6))</f>
        <v>7:6</v>
      </c>
      <c r="I10" s="14" t="s">
        <v>33</v>
      </c>
      <c r="J10" s="16" t="str">
        <f ca="1">INDIRECT(ADDRESS(27,6))&amp;":"&amp;INDIRECT(ADDRESS(27,7))</f>
        <v>5:3</v>
      </c>
      <c r="K10" s="98">
        <f ca="1">IF(COUNT(F11:J11)=0,"",COUNTIF(F11:J11,"&gt;0")+0.5*COUNTIF(F11:J11,0))</f>
        <v>4</v>
      </c>
      <c r="L10" s="11"/>
      <c r="M10" s="85">
        <v>1</v>
      </c>
    </row>
    <row r="11" spans="2:16" ht="24" customHeight="1">
      <c r="B11" s="90"/>
      <c r="C11" s="121"/>
      <c r="D11" s="122"/>
      <c r="E11" s="123"/>
      <c r="F11" s="17">
        <f ca="1">IF(LEN(INDIRECT(ADDRESS(ROW()-1, COLUMN())))=1,"",INDIRECT(ADDRESS(30,7))-INDIRECT(ADDRESS(30,6)))</f>
        <v>8</v>
      </c>
      <c r="G11" s="11">
        <f ca="1">IF(LEN(INDIRECT(ADDRESS(ROW()-1, COLUMN())))=1,"",INDIRECT(ADDRESS(34,6))-INDIRECT(ADDRESS(34,7)))</f>
        <v>4</v>
      </c>
      <c r="H11" s="11">
        <f ca="1">IF(LEN(INDIRECT(ADDRESS(ROW()-1, COLUMN())))=1,"",INDIRECT(ADDRESS(19,7))-INDIRECT(ADDRESS(19,6)))</f>
        <v>1</v>
      </c>
      <c r="I11" s="18" t="s">
        <v>33</v>
      </c>
      <c r="J11" s="12">
        <f ca="1">IF(LEN(INDIRECT(ADDRESS(ROW()-1, COLUMN())))=1,"",INDIRECT(ADDRESS(27,6))-INDIRECT(ADDRESS(27,7)))</f>
        <v>2</v>
      </c>
      <c r="K11" s="98"/>
      <c r="L11" s="11"/>
      <c r="M11" s="85"/>
    </row>
    <row r="12" spans="2:16" ht="24" customHeight="1">
      <c r="B12" s="101">
        <v>5</v>
      </c>
      <c r="C12" s="121" t="s">
        <v>93</v>
      </c>
      <c r="D12" s="122"/>
      <c r="E12" s="123"/>
      <c r="F12" s="13" t="str">
        <f ca="1">INDIRECT(ADDRESS(35,6))&amp;":"&amp;INDIRECT(ADDRESS(35,7))</f>
        <v>6:8</v>
      </c>
      <c r="G12" s="15" t="str">
        <f ca="1">INDIRECT(ADDRESS(18,7))&amp;":"&amp;INDIRECT(ADDRESS(18,6))</f>
        <v>1:10</v>
      </c>
      <c r="H12" s="15" t="str">
        <f ca="1">INDIRECT(ADDRESS(22,6))&amp;":"&amp;INDIRECT(ADDRESS(22,7))</f>
        <v>3:13</v>
      </c>
      <c r="I12" s="15" t="str">
        <f ca="1">INDIRECT(ADDRESS(27,7))&amp;":"&amp;INDIRECT(ADDRESS(27,6))</f>
        <v>3:5</v>
      </c>
      <c r="J12" s="25" t="s">
        <v>33</v>
      </c>
      <c r="K12" s="98">
        <f ca="1">IF(COUNT(F13:J13)=0,"",COUNTIF(F13:J13,"&gt;0")+0.5*COUNTIF(F13:J13,0))</f>
        <v>0</v>
      </c>
      <c r="L12" s="11"/>
      <c r="M12" s="85">
        <v>5</v>
      </c>
    </row>
    <row r="13" spans="2:16" ht="24" customHeight="1" thickBot="1">
      <c r="B13" s="107"/>
      <c r="C13" s="124"/>
      <c r="D13" s="125"/>
      <c r="E13" s="126"/>
      <c r="F13" s="19">
        <f ca="1">IF(LEN(INDIRECT(ADDRESS(ROW()-1, COLUMN())))=1,"",INDIRECT(ADDRESS(35,6))-INDIRECT(ADDRESS(35,7)))</f>
        <v>-2</v>
      </c>
      <c r="G13" s="20">
        <f ca="1">IF(LEN(INDIRECT(ADDRESS(ROW()-1, COLUMN())))=1,"",INDIRECT(ADDRESS(18,7))-INDIRECT(ADDRESS(18,6)))</f>
        <v>-9</v>
      </c>
      <c r="H13" s="20">
        <f ca="1">IF(LEN(INDIRECT(ADDRESS(ROW()-1, COLUMN())))=1,"",INDIRECT(ADDRESS(22,6))-INDIRECT(ADDRESS(22,7)))</f>
        <v>-10</v>
      </c>
      <c r="I13" s="20">
        <f ca="1">IF(LEN(INDIRECT(ADDRESS(ROW()-1, COLUMN())))=1,"",INDIRECT(ADDRESS(27,7))-INDIRECT(ADDRESS(27,6)))</f>
        <v>-2</v>
      </c>
      <c r="J13" s="21" t="s">
        <v>33</v>
      </c>
      <c r="K13" s="99"/>
      <c r="L13" s="20"/>
      <c r="M13" s="100"/>
    </row>
    <row r="14" spans="2:16">
      <c r="M14"/>
    </row>
    <row r="15" spans="2:16">
      <c r="M15"/>
    </row>
    <row r="16" spans="2:16">
      <c r="M16"/>
    </row>
    <row r="17" spans="1:13" s="50" customFormat="1" ht="30" customHeight="1" thickBot="1">
      <c r="A17" s="49"/>
      <c r="B17" s="105" t="s">
        <v>4</v>
      </c>
      <c r="C17" s="105"/>
      <c r="D17" s="105"/>
      <c r="E17" s="105"/>
      <c r="F17" s="105"/>
      <c r="G17" s="105"/>
      <c r="H17" s="105"/>
      <c r="I17" s="105"/>
      <c r="J17" s="105"/>
      <c r="K17" s="105"/>
      <c r="M17" s="51"/>
    </row>
    <row r="18" spans="1:13" s="50" customFormat="1" ht="30" customHeight="1" thickBot="1">
      <c r="A18" s="49"/>
      <c r="B18" s="52">
        <v>2</v>
      </c>
      <c r="C18" s="127" t="str">
        <f ca="1">IF(ISBLANK(INDIRECT(ADDRESS(B18*2+2,3))),"",INDIRECT(ADDRESS(B18*2+2,3)))</f>
        <v>Нечаев - Кочетова - Борисенко</v>
      </c>
      <c r="D18" s="127"/>
      <c r="E18" s="128"/>
      <c r="F18" s="53">
        <v>10</v>
      </c>
      <c r="G18" s="54">
        <v>1</v>
      </c>
      <c r="H18" s="129" t="str">
        <f ca="1">IF(ISBLANK(INDIRECT(ADDRESS(K18*2+2,3))),"",INDIRECT(ADDRESS(K18*2+2,3)))</f>
        <v>Гелдиев - Деревянных - Костяная</v>
      </c>
      <c r="I18" s="127"/>
      <c r="J18" s="127"/>
      <c r="K18" s="52">
        <v>5</v>
      </c>
      <c r="L18" s="55" t="s">
        <v>5</v>
      </c>
      <c r="M18" s="48">
        <v>1</v>
      </c>
    </row>
    <row r="19" spans="1:13" s="50" customFormat="1" ht="30" customHeight="1" thickBot="1">
      <c r="A19" s="49"/>
      <c r="B19" s="52">
        <v>3</v>
      </c>
      <c r="C19" s="127" t="str">
        <f ca="1">IF(ISBLANK(INDIRECT(ADDRESS(B19*2+2,3))),"",INDIRECT(ADDRESS(B19*2+2,3)))</f>
        <v>Лукин - Шустваль - Помазан</v>
      </c>
      <c r="D19" s="127"/>
      <c r="E19" s="128"/>
      <c r="F19" s="53">
        <v>6</v>
      </c>
      <c r="G19" s="54">
        <v>7</v>
      </c>
      <c r="H19" s="129" t="str">
        <f ca="1">IF(ISBLANK(INDIRECT(ADDRESS(K19*2+2,3))),"",INDIRECT(ADDRESS(K19*2+2,3)))</f>
        <v>Пищанский - Фёдорова - Семченкова</v>
      </c>
      <c r="I19" s="127"/>
      <c r="J19" s="127"/>
      <c r="K19" s="52">
        <v>4</v>
      </c>
      <c r="L19" s="55" t="s">
        <v>5</v>
      </c>
      <c r="M19" s="48">
        <v>2</v>
      </c>
    </row>
    <row r="20" spans="1:13" s="50" customFormat="1" ht="30" customHeight="1">
      <c r="A20" s="49"/>
      <c r="M20" s="56"/>
    </row>
    <row r="21" spans="1:13" s="50" customFormat="1" ht="30" customHeight="1" thickBot="1">
      <c r="A21" s="49"/>
      <c r="B21" s="105" t="s">
        <v>6</v>
      </c>
      <c r="C21" s="105"/>
      <c r="D21" s="105"/>
      <c r="E21" s="105"/>
      <c r="F21" s="105"/>
      <c r="G21" s="105"/>
      <c r="H21" s="105"/>
      <c r="I21" s="105"/>
      <c r="J21" s="105"/>
      <c r="K21" s="105"/>
      <c r="M21" s="56"/>
    </row>
    <row r="22" spans="1:13" s="50" customFormat="1" ht="30" customHeight="1" thickBot="1">
      <c r="A22" s="49"/>
      <c r="B22" s="52">
        <v>5</v>
      </c>
      <c r="C22" s="127" t="str">
        <f ca="1">IF(ISBLANK(INDIRECT(ADDRESS(B22*2+2,3))),"",INDIRECT(ADDRESS(B22*2+2,3)))</f>
        <v>Гелдиев - Деревянных - Костяная</v>
      </c>
      <c r="D22" s="127"/>
      <c r="E22" s="128"/>
      <c r="F22" s="53">
        <v>3</v>
      </c>
      <c r="G22" s="54">
        <v>13</v>
      </c>
      <c r="H22" s="129" t="str">
        <f ca="1">IF(ISBLANK(INDIRECT(ADDRESS(K22*2+2,3))),"",INDIRECT(ADDRESS(K22*2+2,3)))</f>
        <v>Лукин - Шустваль - Помазан</v>
      </c>
      <c r="I22" s="127"/>
      <c r="J22" s="127"/>
      <c r="K22" s="52">
        <v>3</v>
      </c>
      <c r="L22" s="55" t="s">
        <v>5</v>
      </c>
      <c r="M22" s="48">
        <v>12</v>
      </c>
    </row>
    <row r="23" spans="1:13" s="50" customFormat="1" ht="30" customHeight="1" thickBot="1">
      <c r="A23" s="49"/>
      <c r="B23" s="52">
        <v>1</v>
      </c>
      <c r="C23" s="127" t="str">
        <f ca="1">IF(ISBLANK(INDIRECT(ADDRESS(B23*2+2,3))),"",INDIRECT(ADDRESS(B23*2+2,3)))</f>
        <v>Зеленина - Погорелова - Валибуз И.</v>
      </c>
      <c r="D23" s="127"/>
      <c r="E23" s="128"/>
      <c r="F23" s="53">
        <v>1</v>
      </c>
      <c r="G23" s="54">
        <v>9</v>
      </c>
      <c r="H23" s="129" t="str">
        <f ca="1">IF(ISBLANK(INDIRECT(ADDRESS(K23*2+2,3))),"",INDIRECT(ADDRESS(K23*2+2,3)))</f>
        <v>Нечаев - Кочетова - Борисенко</v>
      </c>
      <c r="I23" s="127"/>
      <c r="J23" s="127"/>
      <c r="K23" s="52">
        <v>2</v>
      </c>
      <c r="L23" s="55" t="s">
        <v>5</v>
      </c>
      <c r="M23" s="48">
        <v>13</v>
      </c>
    </row>
    <row r="24" spans="1:13" s="50" customFormat="1" ht="30" customHeight="1">
      <c r="A24" s="49"/>
      <c r="M24" s="56"/>
    </row>
    <row r="25" spans="1:13" s="50" customFormat="1" ht="30" customHeight="1" thickBot="1">
      <c r="A25" s="49"/>
      <c r="B25" s="105" t="s">
        <v>7</v>
      </c>
      <c r="C25" s="105"/>
      <c r="D25" s="105"/>
      <c r="E25" s="105"/>
      <c r="F25" s="105"/>
      <c r="G25" s="105"/>
      <c r="H25" s="105"/>
      <c r="I25" s="105"/>
      <c r="J25" s="105"/>
      <c r="K25" s="105"/>
      <c r="M25" s="56"/>
    </row>
    <row r="26" spans="1:13" s="50" customFormat="1" ht="30" customHeight="1" thickBot="1">
      <c r="A26" s="49"/>
      <c r="B26" s="52">
        <v>3</v>
      </c>
      <c r="C26" s="127" t="str">
        <f ca="1">IF(ISBLANK(INDIRECT(ADDRESS(B26*2+2,3))),"",INDIRECT(ADDRESS(B26*2+2,3)))</f>
        <v>Лукин - Шустваль - Помазан</v>
      </c>
      <c r="D26" s="127"/>
      <c r="E26" s="128"/>
      <c r="F26" s="53">
        <v>12</v>
      </c>
      <c r="G26" s="54">
        <v>4</v>
      </c>
      <c r="H26" s="129" t="str">
        <f ca="1">IF(ISBLANK(INDIRECT(ADDRESS(K26*2+2,3))),"",INDIRECT(ADDRESS(K26*2+2,3)))</f>
        <v>Зеленина - Погорелова - Валибуз И.</v>
      </c>
      <c r="I26" s="127"/>
      <c r="J26" s="127"/>
      <c r="K26" s="52">
        <v>1</v>
      </c>
      <c r="L26" s="55" t="s">
        <v>5</v>
      </c>
      <c r="M26" s="48">
        <v>3</v>
      </c>
    </row>
    <row r="27" spans="1:13" s="50" customFormat="1" ht="30" customHeight="1" thickBot="1">
      <c r="A27" s="49"/>
      <c r="B27" s="52">
        <v>4</v>
      </c>
      <c r="C27" s="127" t="str">
        <f ca="1">IF(ISBLANK(INDIRECT(ADDRESS(B27*2+2,3))),"",INDIRECT(ADDRESS(B27*2+2,3)))</f>
        <v>Пищанский - Фёдорова - Семченкова</v>
      </c>
      <c r="D27" s="127"/>
      <c r="E27" s="128"/>
      <c r="F27" s="53">
        <v>5</v>
      </c>
      <c r="G27" s="54">
        <v>3</v>
      </c>
      <c r="H27" s="129" t="str">
        <f ca="1">IF(ISBLANK(INDIRECT(ADDRESS(K27*2+2,3))),"",INDIRECT(ADDRESS(K27*2+2,3)))</f>
        <v>Гелдиев - Деревянных - Костяная</v>
      </c>
      <c r="I27" s="127"/>
      <c r="J27" s="127"/>
      <c r="K27" s="52">
        <v>5</v>
      </c>
      <c r="L27" s="55" t="s">
        <v>5</v>
      </c>
      <c r="M27" s="48">
        <v>1</v>
      </c>
    </row>
    <row r="28" spans="1:13" s="50" customFormat="1" ht="30" customHeight="1">
      <c r="A28" s="49"/>
      <c r="M28" s="56"/>
    </row>
    <row r="29" spans="1:13" s="50" customFormat="1" ht="30" customHeight="1" thickBot="1">
      <c r="A29" s="49"/>
      <c r="B29" s="105" t="s">
        <v>8</v>
      </c>
      <c r="C29" s="105"/>
      <c r="D29" s="105"/>
      <c r="E29" s="105"/>
      <c r="F29" s="105"/>
      <c r="G29" s="105"/>
      <c r="H29" s="105"/>
      <c r="I29" s="105"/>
      <c r="J29" s="105"/>
      <c r="K29" s="105"/>
      <c r="M29" s="56"/>
    </row>
    <row r="30" spans="1:13" s="50" customFormat="1" ht="30" customHeight="1" thickBot="1">
      <c r="A30" s="49"/>
      <c r="B30" s="52">
        <v>1</v>
      </c>
      <c r="C30" s="127" t="str">
        <f ca="1">IF(ISBLANK(INDIRECT(ADDRESS(B30*2+2,3))),"",INDIRECT(ADDRESS(B30*2+2,3)))</f>
        <v>Зеленина - Погорелова - Валибуз И.</v>
      </c>
      <c r="D30" s="127"/>
      <c r="E30" s="128"/>
      <c r="F30" s="53">
        <v>4</v>
      </c>
      <c r="G30" s="54">
        <v>12</v>
      </c>
      <c r="H30" s="129" t="str">
        <f ca="1">IF(ISBLANK(INDIRECT(ADDRESS(K30*2+2,3))),"",INDIRECT(ADDRESS(K30*2+2,3)))</f>
        <v>Пищанский - Фёдорова - Семченкова</v>
      </c>
      <c r="I30" s="127"/>
      <c r="J30" s="127"/>
      <c r="K30" s="52">
        <v>4</v>
      </c>
      <c r="L30" s="55" t="s">
        <v>5</v>
      </c>
      <c r="M30" s="48">
        <v>11</v>
      </c>
    </row>
    <row r="31" spans="1:13" s="50" customFormat="1" ht="30" customHeight="1" thickBot="1">
      <c r="A31" s="49"/>
      <c r="B31" s="52">
        <v>2</v>
      </c>
      <c r="C31" s="127" t="str">
        <f ca="1">IF(ISBLANK(INDIRECT(ADDRESS(B31*2+2,3))),"",INDIRECT(ADDRESS(B31*2+2,3)))</f>
        <v>Нечаев - Кочетова - Борисенко</v>
      </c>
      <c r="D31" s="127"/>
      <c r="E31" s="128"/>
      <c r="F31" s="53">
        <v>11</v>
      </c>
      <c r="G31" s="54">
        <v>8</v>
      </c>
      <c r="H31" s="129" t="str">
        <f ca="1">IF(ISBLANK(INDIRECT(ADDRESS(K31*2+2,3))),"",INDIRECT(ADDRESS(K31*2+2,3)))</f>
        <v>Лукин - Шустваль - Помазан</v>
      </c>
      <c r="I31" s="127"/>
      <c r="J31" s="127"/>
      <c r="K31" s="52">
        <v>3</v>
      </c>
      <c r="L31" s="55" t="s">
        <v>5</v>
      </c>
      <c r="M31" s="48">
        <v>13</v>
      </c>
    </row>
    <row r="32" spans="1:13" s="50" customFormat="1" ht="30" customHeight="1">
      <c r="A32" s="49"/>
      <c r="M32" s="56"/>
    </row>
    <row r="33" spans="1:13" s="50" customFormat="1" ht="30" customHeight="1" thickBot="1">
      <c r="A33" s="49"/>
      <c r="B33" s="105" t="s">
        <v>9</v>
      </c>
      <c r="C33" s="105"/>
      <c r="D33" s="105"/>
      <c r="E33" s="105"/>
      <c r="F33" s="105"/>
      <c r="G33" s="105"/>
      <c r="H33" s="105"/>
      <c r="I33" s="105"/>
      <c r="J33" s="105"/>
      <c r="K33" s="105"/>
      <c r="M33" s="56"/>
    </row>
    <row r="34" spans="1:13" s="50" customFormat="1" ht="30" customHeight="1" thickBot="1">
      <c r="A34" s="49"/>
      <c r="B34" s="52">
        <v>4</v>
      </c>
      <c r="C34" s="127" t="str">
        <f ca="1">IF(ISBLANK(INDIRECT(ADDRESS(B34*2+2,3))),"",INDIRECT(ADDRESS(B34*2+2,3)))</f>
        <v>Пищанский - Фёдорова - Семченкова</v>
      </c>
      <c r="D34" s="127"/>
      <c r="E34" s="128"/>
      <c r="F34" s="53">
        <v>8</v>
      </c>
      <c r="G34" s="54">
        <v>4</v>
      </c>
      <c r="H34" s="129" t="str">
        <f ca="1">IF(ISBLANK(INDIRECT(ADDRESS(K34*2+2,3))),"",INDIRECT(ADDRESS(K34*2+2,3)))</f>
        <v>Нечаев - Кочетова - Борисенко</v>
      </c>
      <c r="I34" s="127"/>
      <c r="J34" s="127"/>
      <c r="K34" s="52">
        <v>2</v>
      </c>
      <c r="L34" s="55" t="s">
        <v>5</v>
      </c>
      <c r="M34" s="48">
        <v>2</v>
      </c>
    </row>
    <row r="35" spans="1:13" s="50" customFormat="1" ht="30" customHeight="1" thickBot="1">
      <c r="A35" s="49"/>
      <c r="B35" s="52">
        <v>5</v>
      </c>
      <c r="C35" s="127" t="str">
        <f ca="1">IF(ISBLANK(INDIRECT(ADDRESS(B35*2+2,3))),"",INDIRECT(ADDRESS(B35*2+2,3)))</f>
        <v>Гелдиев - Деревянных - Костяная</v>
      </c>
      <c r="D35" s="127"/>
      <c r="E35" s="128"/>
      <c r="F35" s="53">
        <v>6</v>
      </c>
      <c r="G35" s="54">
        <v>8</v>
      </c>
      <c r="H35" s="129" t="str">
        <f ca="1">IF(ISBLANK(INDIRECT(ADDRESS(K35*2+2,3))),"",INDIRECT(ADDRESS(K35*2+2,3)))</f>
        <v>Зеленина - Погорелова - Валибуз И.</v>
      </c>
      <c r="I35" s="127"/>
      <c r="J35" s="127"/>
      <c r="K35" s="52">
        <v>1</v>
      </c>
      <c r="L35" s="55" t="s">
        <v>5</v>
      </c>
      <c r="M35" s="48">
        <v>3</v>
      </c>
    </row>
    <row r="39" spans="1:13" ht="21">
      <c r="B39" s="29" t="s">
        <v>29</v>
      </c>
      <c r="C39" s="29"/>
      <c r="D39" s="29"/>
      <c r="E39" s="29"/>
    </row>
    <row r="40" spans="1:13" ht="21">
      <c r="B40" s="29"/>
      <c r="C40" s="29"/>
      <c r="D40" s="29"/>
      <c r="E40" s="29"/>
    </row>
    <row r="41" spans="1:13" ht="21">
      <c r="B41" s="29"/>
      <c r="C41" s="29"/>
      <c r="D41" s="29"/>
      <c r="E41" s="29"/>
    </row>
    <row r="42" spans="1:13" ht="21">
      <c r="B42" s="29" t="s">
        <v>31</v>
      </c>
      <c r="C42" s="29"/>
      <c r="D42" s="29"/>
      <c r="E42" s="29"/>
    </row>
  </sheetData>
  <sheetCalcPr fullCalcOnLoad="1"/>
  <mergeCells count="47">
    <mergeCell ref="B33:K33"/>
    <mergeCell ref="C34:E34"/>
    <mergeCell ref="H34:J34"/>
    <mergeCell ref="C35:E35"/>
    <mergeCell ref="H35:J35"/>
    <mergeCell ref="C30:E30"/>
    <mergeCell ref="H30:J30"/>
    <mergeCell ref="C31:E31"/>
    <mergeCell ref="H31:J31"/>
    <mergeCell ref="C22:E22"/>
    <mergeCell ref="H22:J22"/>
    <mergeCell ref="C23:E23"/>
    <mergeCell ref="H23:J23"/>
    <mergeCell ref="B25:K25"/>
    <mergeCell ref="C26:E26"/>
    <mergeCell ref="C18:E18"/>
    <mergeCell ref="H18:J18"/>
    <mergeCell ref="C19:E19"/>
    <mergeCell ref="H19:J19"/>
    <mergeCell ref="H27:J27"/>
    <mergeCell ref="B29:K29"/>
    <mergeCell ref="H26:J26"/>
    <mergeCell ref="C27:E27"/>
    <mergeCell ref="M10:M11"/>
    <mergeCell ref="B12:B13"/>
    <mergeCell ref="C12:E13"/>
    <mergeCell ref="K12:K13"/>
    <mergeCell ref="M12:M13"/>
    <mergeCell ref="B21:K21"/>
    <mergeCell ref="B10:B11"/>
    <mergeCell ref="C10:E11"/>
    <mergeCell ref="K10:K11"/>
    <mergeCell ref="B17:K17"/>
    <mergeCell ref="B8:B9"/>
    <mergeCell ref="C8:E9"/>
    <mergeCell ref="K8:K9"/>
    <mergeCell ref="M8:M9"/>
    <mergeCell ref="B6:B7"/>
    <mergeCell ref="C6:E7"/>
    <mergeCell ref="K6:K7"/>
    <mergeCell ref="M6:M7"/>
    <mergeCell ref="B1:M1"/>
    <mergeCell ref="C3:E3"/>
    <mergeCell ref="B4:B5"/>
    <mergeCell ref="C4:E5"/>
    <mergeCell ref="K4:K5"/>
    <mergeCell ref="M4:M5"/>
  </mergeCells>
  <phoneticPr fontId="15" type="noConversion"/>
  <printOptions horizontalCentered="1"/>
  <pageMargins left="0.25" right="0.25" top="0.75" bottom="0.75" header="0.3" footer="0.3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9"/>
  <sheetViews>
    <sheetView topLeftCell="A36" workbookViewId="0">
      <selection activeCell="B46" sqref="B46:E49"/>
    </sheetView>
  </sheetViews>
  <sheetFormatPr defaultRowHeight="15"/>
  <cols>
    <col min="1" max="1" width="4" style="24" customWidth="1"/>
    <col min="2" max="2" width="10.28515625" customWidth="1"/>
    <col min="3" max="10" width="15.28515625" customWidth="1"/>
    <col min="11" max="15" width="10.28515625" customWidth="1"/>
  </cols>
  <sheetData>
    <row r="1" spans="2:14" ht="38.25" customHeight="1">
      <c r="B1" s="117" t="s">
        <v>106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2:14" ht="15.75" thickBot="1"/>
    <row r="3" spans="2:14" ht="30" customHeight="1" thickBot="1">
      <c r="B3" s="47"/>
      <c r="C3" s="86" t="s">
        <v>0</v>
      </c>
      <c r="D3" s="87"/>
      <c r="E3" s="88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4" t="s">
        <v>1</v>
      </c>
      <c r="M3" s="1" t="s">
        <v>2</v>
      </c>
      <c r="N3" s="5" t="s">
        <v>3</v>
      </c>
    </row>
    <row r="4" spans="2:14" ht="24" customHeight="1">
      <c r="B4" s="89">
        <v>1</v>
      </c>
      <c r="C4" s="132" t="s">
        <v>99</v>
      </c>
      <c r="D4" s="133"/>
      <c r="E4" s="134"/>
      <c r="F4" s="6" t="s">
        <v>33</v>
      </c>
      <c r="G4" s="7" t="str">
        <f ca="1">INDIRECT(ADDRESS(27,6))&amp;":"&amp;INDIRECT(ADDRESS(27,7))</f>
        <v>12:6</v>
      </c>
      <c r="H4" s="7" t="str">
        <f ca="1">INDIRECT(ADDRESS(31,7))&amp;":"&amp;INDIRECT(ADDRESS(31,6))</f>
        <v>0:13</v>
      </c>
      <c r="I4" s="7" t="str">
        <f ca="1">INDIRECT(ADDRESS(36,6))&amp;":"&amp;INDIRECT(ADDRESS(36,7))</f>
        <v>6:13</v>
      </c>
      <c r="J4" s="7" t="str">
        <f ca="1">INDIRECT(ADDRESS(42,7))&amp;":"&amp;INDIRECT(ADDRESS(42,6))</f>
        <v>7:11</v>
      </c>
      <c r="K4" s="8" t="str">
        <f ca="1">INDIRECT(ADDRESS(20,6))&amp;":"&amp;INDIRECT(ADDRESS(20,7))</f>
        <v>13:4</v>
      </c>
      <c r="L4" s="138">
        <f ca="1">IF(COUNT(F5:K5)=0,"",COUNTIF(F5:K5,"&gt;0")+0.5*COUNTIF(F5:K5,0))</f>
        <v>2</v>
      </c>
      <c r="M4" s="9"/>
      <c r="N4" s="130">
        <v>4</v>
      </c>
    </row>
    <row r="5" spans="2:14" ht="24" customHeight="1">
      <c r="B5" s="90"/>
      <c r="C5" s="135"/>
      <c r="D5" s="136"/>
      <c r="E5" s="137"/>
      <c r="F5" s="10" t="s">
        <v>33</v>
      </c>
      <c r="G5" s="11">
        <f ca="1">IF(LEN(INDIRECT(ADDRESS(ROW()-1, COLUMN())))=1,"",INDIRECT(ADDRESS(27,6))-INDIRECT(ADDRESS(27,7)))</f>
        <v>6</v>
      </c>
      <c r="H5" s="11">
        <f ca="1">IF(LEN(INDIRECT(ADDRESS(ROW()-1, COLUMN())))=1,"",INDIRECT(ADDRESS(31,7))-INDIRECT(ADDRESS(31,6)))</f>
        <v>-13</v>
      </c>
      <c r="I5" s="11">
        <f ca="1">IF(LEN(INDIRECT(ADDRESS(ROW()-1, COLUMN())))=1,"",INDIRECT(ADDRESS(36,6))-INDIRECT(ADDRESS(36,7)))</f>
        <v>-7</v>
      </c>
      <c r="J5" s="11">
        <f ca="1">IF(LEN(INDIRECT(ADDRESS(ROW()-1, COLUMN())))=1,"",INDIRECT(ADDRESS(42,7))-INDIRECT(ADDRESS(42,6)))</f>
        <v>-4</v>
      </c>
      <c r="K5" s="12">
        <f ca="1">IF(LEN(INDIRECT(ADDRESS(ROW()-1, COLUMN())))=1,"",INDIRECT(ADDRESS(20,6))-INDIRECT(ADDRESS(20,7)))</f>
        <v>9</v>
      </c>
      <c r="L5" s="139"/>
      <c r="M5" s="11"/>
      <c r="N5" s="131"/>
    </row>
    <row r="6" spans="2:14" ht="24" customHeight="1">
      <c r="B6" s="101">
        <v>2</v>
      </c>
      <c r="C6" s="135" t="s">
        <v>100</v>
      </c>
      <c r="D6" s="136"/>
      <c r="E6" s="137"/>
      <c r="F6" s="13" t="str">
        <f ca="1">INDIRECT(ADDRESS(27,7))&amp;":"&amp;INDIRECT(ADDRESS(27,6))</f>
        <v>6:12</v>
      </c>
      <c r="G6" s="14" t="s">
        <v>33</v>
      </c>
      <c r="H6" s="15" t="str">
        <f ca="1">INDIRECT(ADDRESS(37,6))&amp;":"&amp;INDIRECT(ADDRESS(37,7))</f>
        <v>5:9</v>
      </c>
      <c r="I6" s="15" t="str">
        <f ca="1">INDIRECT(ADDRESS(41,7))&amp;":"&amp;INDIRECT(ADDRESS(41,6))</f>
        <v>6:13</v>
      </c>
      <c r="J6" s="15" t="str">
        <f ca="1">INDIRECT(ADDRESS(21,6))&amp;":"&amp;INDIRECT(ADDRESS(21,7))</f>
        <v>4:12</v>
      </c>
      <c r="K6" s="16" t="str">
        <f ca="1">INDIRECT(ADDRESS(30,6))&amp;":"&amp;INDIRECT(ADDRESS(30,7))</f>
        <v>9:3</v>
      </c>
      <c r="L6" s="139">
        <f ca="1">IF(COUNT(F7:K7)=0,"",COUNTIF(F7:K7,"&gt;0")+0.5*COUNTIF(F7:K7,0))</f>
        <v>1</v>
      </c>
      <c r="M6" s="11"/>
      <c r="N6" s="140">
        <v>5</v>
      </c>
    </row>
    <row r="7" spans="2:14" ht="24" customHeight="1">
      <c r="B7" s="90"/>
      <c r="C7" s="135"/>
      <c r="D7" s="136"/>
      <c r="E7" s="137"/>
      <c r="F7" s="17">
        <f ca="1">IF(LEN(INDIRECT(ADDRESS(ROW()-1, COLUMN())))=1,"",INDIRECT(ADDRESS(27,7))-INDIRECT(ADDRESS(27,6)))</f>
        <v>-6</v>
      </c>
      <c r="G7" s="18" t="s">
        <v>33</v>
      </c>
      <c r="H7" s="11">
        <f ca="1">IF(LEN(INDIRECT(ADDRESS(ROW()-1, COLUMN())))=1,"",INDIRECT(ADDRESS(37,6))-INDIRECT(ADDRESS(37,7)))</f>
        <v>-4</v>
      </c>
      <c r="I7" s="11">
        <f ca="1">IF(LEN(INDIRECT(ADDRESS(ROW()-1, COLUMN())))=1,"",INDIRECT(ADDRESS(41,7))-INDIRECT(ADDRESS(41,6)))</f>
        <v>-7</v>
      </c>
      <c r="J7" s="11">
        <f ca="1">IF(LEN(INDIRECT(ADDRESS(ROW()-1, COLUMN())))=1,"",INDIRECT(ADDRESS(21,6))-INDIRECT(ADDRESS(21,7)))</f>
        <v>-8</v>
      </c>
      <c r="K7" s="12">
        <f ca="1">IF(LEN(INDIRECT(ADDRESS(ROW()-1, COLUMN())))=1,"",INDIRECT(ADDRESS(30,6))-INDIRECT(ADDRESS(30,7)))</f>
        <v>6</v>
      </c>
      <c r="L7" s="139"/>
      <c r="M7" s="11"/>
      <c r="N7" s="131"/>
    </row>
    <row r="8" spans="2:14" ht="24" customHeight="1">
      <c r="B8" s="101">
        <v>3</v>
      </c>
      <c r="C8" s="135" t="s">
        <v>101</v>
      </c>
      <c r="D8" s="136"/>
      <c r="E8" s="137"/>
      <c r="F8" s="13" t="str">
        <f ca="1">INDIRECT(ADDRESS(31,6))&amp;":"&amp;INDIRECT(ADDRESS(31,7))</f>
        <v>13:0</v>
      </c>
      <c r="G8" s="15" t="str">
        <f ca="1">INDIRECT(ADDRESS(37,7))&amp;":"&amp;INDIRECT(ADDRESS(37,6))</f>
        <v>9:5</v>
      </c>
      <c r="H8" s="14" t="s">
        <v>33</v>
      </c>
      <c r="I8" s="15" t="str">
        <f ca="1">INDIRECT(ADDRESS(22,6))&amp;":"&amp;INDIRECT(ADDRESS(22,7))</f>
        <v>10:11</v>
      </c>
      <c r="J8" s="15" t="str">
        <f ca="1">INDIRECT(ADDRESS(26,7))&amp;":"&amp;INDIRECT(ADDRESS(26,6))</f>
        <v>13:2</v>
      </c>
      <c r="K8" s="16" t="str">
        <f ca="1">INDIRECT(ADDRESS(40,6))&amp;":"&amp;INDIRECT(ADDRESS(40,7))</f>
        <v>9:3</v>
      </c>
      <c r="L8" s="139">
        <f ca="1">IF(COUNT(F9:K9)=0,"",COUNTIF(F9:K9,"&gt;0")+0.5*COUNTIF(F9:K9,0))</f>
        <v>4</v>
      </c>
      <c r="M8" s="67" t="s">
        <v>105</v>
      </c>
      <c r="N8" s="140">
        <v>1</v>
      </c>
    </row>
    <row r="9" spans="2:14" ht="24" customHeight="1">
      <c r="B9" s="90"/>
      <c r="C9" s="135"/>
      <c r="D9" s="136"/>
      <c r="E9" s="137"/>
      <c r="F9" s="17">
        <f ca="1">IF(LEN(INDIRECT(ADDRESS(ROW()-1, COLUMN())))=1,"",INDIRECT(ADDRESS(31,6))-INDIRECT(ADDRESS(31,7)))</f>
        <v>13</v>
      </c>
      <c r="G9" s="11">
        <f ca="1">IF(LEN(INDIRECT(ADDRESS(ROW()-1, COLUMN())))=1,"",INDIRECT(ADDRESS(37,7))-INDIRECT(ADDRESS(37,6)))</f>
        <v>4</v>
      </c>
      <c r="H9" s="18" t="s">
        <v>33</v>
      </c>
      <c r="I9" s="11">
        <f ca="1">IF(LEN(INDIRECT(ADDRESS(ROW()-1, COLUMN())))=1,"",INDIRECT(ADDRESS(22,6))-INDIRECT(ADDRESS(22,7)))</f>
        <v>-1</v>
      </c>
      <c r="J9" s="11">
        <f ca="1">IF(LEN(INDIRECT(ADDRESS(ROW()-1, COLUMN())))=1,"",INDIRECT(ADDRESS(26,7))-INDIRECT(ADDRESS(26,6)))</f>
        <v>11</v>
      </c>
      <c r="K9" s="12">
        <f ca="1">IF(LEN(INDIRECT(ADDRESS(ROW()-1, COLUMN())))=1,"",INDIRECT(ADDRESS(40,6))-INDIRECT(ADDRESS(40,7)))</f>
        <v>6</v>
      </c>
      <c r="L9" s="139"/>
      <c r="M9" s="11">
        <v>10</v>
      </c>
      <c r="N9" s="131"/>
    </row>
    <row r="10" spans="2:14" ht="24" customHeight="1">
      <c r="B10" s="101">
        <v>4</v>
      </c>
      <c r="C10" s="135" t="s">
        <v>102</v>
      </c>
      <c r="D10" s="136"/>
      <c r="E10" s="137"/>
      <c r="F10" s="13" t="str">
        <f ca="1">INDIRECT(ADDRESS(36,7))&amp;":"&amp;INDIRECT(ADDRESS(36,6))</f>
        <v>13:6</v>
      </c>
      <c r="G10" s="15" t="str">
        <f ca="1">INDIRECT(ADDRESS(41,6))&amp;":"&amp;INDIRECT(ADDRESS(41,7))</f>
        <v>13:6</v>
      </c>
      <c r="H10" s="15" t="str">
        <f ca="1">INDIRECT(ADDRESS(22,7))&amp;":"&amp;INDIRECT(ADDRESS(22,6))</f>
        <v>11:10</v>
      </c>
      <c r="I10" s="14" t="s">
        <v>33</v>
      </c>
      <c r="J10" s="15" t="str">
        <f ca="1">INDIRECT(ADDRESS(32,6))&amp;":"&amp;INDIRECT(ADDRESS(32,7))</f>
        <v>3:13</v>
      </c>
      <c r="K10" s="16" t="str">
        <f ca="1">INDIRECT(ADDRESS(25,7))&amp;":"&amp;INDIRECT(ADDRESS(25,6))</f>
        <v>13:12</v>
      </c>
      <c r="L10" s="139">
        <f ca="1">IF(COUNT(F11:K11)=0,"",COUNTIF(F11:K11,"&gt;0")+0.5*COUNTIF(F11:K11,0))</f>
        <v>4</v>
      </c>
      <c r="M10" s="67" t="s">
        <v>105</v>
      </c>
      <c r="N10" s="140">
        <v>3</v>
      </c>
    </row>
    <row r="11" spans="2:14" ht="24" customHeight="1">
      <c r="B11" s="90"/>
      <c r="C11" s="135"/>
      <c r="D11" s="136"/>
      <c r="E11" s="137"/>
      <c r="F11" s="17">
        <f ca="1">IF(LEN(INDIRECT(ADDRESS(ROW()-1, COLUMN())))=1,"",INDIRECT(ADDRESS(36,7))-INDIRECT(ADDRESS(36,6)))</f>
        <v>7</v>
      </c>
      <c r="G11" s="11">
        <f ca="1">IF(LEN(INDIRECT(ADDRESS(ROW()-1, COLUMN())))=1,"",INDIRECT(ADDRESS(41,6))-INDIRECT(ADDRESS(41,7)))</f>
        <v>7</v>
      </c>
      <c r="H11" s="11">
        <f ca="1">IF(LEN(INDIRECT(ADDRESS(ROW()-1, COLUMN())))=1,"",INDIRECT(ADDRESS(22,7))-INDIRECT(ADDRESS(22,6)))</f>
        <v>1</v>
      </c>
      <c r="I11" s="18" t="s">
        <v>33</v>
      </c>
      <c r="J11" s="11">
        <f ca="1">IF(LEN(INDIRECT(ADDRESS(ROW()-1, COLUMN())))=1,"",INDIRECT(ADDRESS(32,6))-INDIRECT(ADDRESS(32,7)))</f>
        <v>-10</v>
      </c>
      <c r="K11" s="12">
        <f ca="1">IF(LEN(INDIRECT(ADDRESS(ROW()-1, COLUMN())))=1,"",INDIRECT(ADDRESS(25,7))-INDIRECT(ADDRESS(25,6)))</f>
        <v>1</v>
      </c>
      <c r="L11" s="139"/>
      <c r="M11" s="11">
        <v>-9</v>
      </c>
      <c r="N11" s="131"/>
    </row>
    <row r="12" spans="2:14" ht="24" customHeight="1">
      <c r="B12" s="101">
        <v>5</v>
      </c>
      <c r="C12" s="135" t="s">
        <v>103</v>
      </c>
      <c r="D12" s="136"/>
      <c r="E12" s="137"/>
      <c r="F12" s="13" t="str">
        <f ca="1">INDIRECT(ADDRESS(42,6))&amp;":"&amp;INDIRECT(ADDRESS(42,7))</f>
        <v>11:7</v>
      </c>
      <c r="G12" s="15" t="str">
        <f ca="1">INDIRECT(ADDRESS(21,7))&amp;":"&amp;INDIRECT(ADDRESS(21,6))</f>
        <v>12:4</v>
      </c>
      <c r="H12" s="15" t="str">
        <f ca="1">INDIRECT(ADDRESS(26,6))&amp;":"&amp;INDIRECT(ADDRESS(26,7))</f>
        <v>2:13</v>
      </c>
      <c r="I12" s="15" t="str">
        <f ca="1">INDIRECT(ADDRESS(32,7))&amp;":"&amp;INDIRECT(ADDRESS(32,6))</f>
        <v>13:3</v>
      </c>
      <c r="J12" s="14" t="s">
        <v>33</v>
      </c>
      <c r="K12" s="16" t="str">
        <f ca="1">INDIRECT(ADDRESS(35,7))&amp;":"&amp;INDIRECT(ADDRESS(35,6))</f>
        <v>13:2</v>
      </c>
      <c r="L12" s="139">
        <f ca="1">IF(COUNT(F13:K13)=0,"",COUNTIF(F13:K13,"&gt;0")+0.5*COUNTIF(F13:K13,0))</f>
        <v>4</v>
      </c>
      <c r="M12" s="67" t="s">
        <v>105</v>
      </c>
      <c r="N12" s="140">
        <v>2</v>
      </c>
    </row>
    <row r="13" spans="2:14" ht="24" customHeight="1">
      <c r="B13" s="90"/>
      <c r="C13" s="135"/>
      <c r="D13" s="136"/>
      <c r="E13" s="137"/>
      <c r="F13" s="17">
        <f ca="1">IF(LEN(INDIRECT(ADDRESS(ROW()-1, COLUMN())))=1,"",INDIRECT(ADDRESS(42,6))-INDIRECT(ADDRESS(42,7)))</f>
        <v>4</v>
      </c>
      <c r="G13" s="11">
        <f ca="1">IF(LEN(INDIRECT(ADDRESS(ROW()-1, COLUMN())))=1,"",INDIRECT(ADDRESS(21,7))-INDIRECT(ADDRESS(21,6)))</f>
        <v>8</v>
      </c>
      <c r="H13" s="11">
        <f ca="1">IF(LEN(INDIRECT(ADDRESS(ROW()-1, COLUMN())))=1,"",INDIRECT(ADDRESS(26,6))-INDIRECT(ADDRESS(26,7)))</f>
        <v>-11</v>
      </c>
      <c r="I13" s="11">
        <f ca="1">IF(LEN(INDIRECT(ADDRESS(ROW()-1, COLUMN())))=1,"",INDIRECT(ADDRESS(32,7))-INDIRECT(ADDRESS(32,6)))</f>
        <v>10</v>
      </c>
      <c r="J13" s="18" t="s">
        <v>33</v>
      </c>
      <c r="K13" s="12">
        <f ca="1">IF(LEN(INDIRECT(ADDRESS(ROW()-1, COLUMN())))=1,"",INDIRECT(ADDRESS(35,7))-INDIRECT(ADDRESS(35,6)))</f>
        <v>11</v>
      </c>
      <c r="L13" s="139"/>
      <c r="M13" s="11">
        <v>-1</v>
      </c>
      <c r="N13" s="131"/>
    </row>
    <row r="14" spans="2:14" ht="24" customHeight="1">
      <c r="B14" s="101">
        <v>6</v>
      </c>
      <c r="C14" s="135" t="s">
        <v>104</v>
      </c>
      <c r="D14" s="136"/>
      <c r="E14" s="137"/>
      <c r="F14" s="13" t="str">
        <f ca="1">INDIRECT(ADDRESS(20,7))&amp;":"&amp;INDIRECT(ADDRESS(20,6))</f>
        <v>4:13</v>
      </c>
      <c r="G14" s="15" t="str">
        <f ca="1">INDIRECT(ADDRESS(30,7))&amp;":"&amp;INDIRECT(ADDRESS(30,6))</f>
        <v>3:9</v>
      </c>
      <c r="H14" s="15" t="str">
        <f ca="1">INDIRECT(ADDRESS(40,7))&amp;":"&amp;INDIRECT(ADDRESS(40,6))</f>
        <v>3:9</v>
      </c>
      <c r="I14" s="15" t="str">
        <f ca="1">INDIRECT(ADDRESS(25,6))&amp;":"&amp;INDIRECT(ADDRESS(25,7))</f>
        <v>12:13</v>
      </c>
      <c r="J14" s="15" t="str">
        <f ca="1">INDIRECT(ADDRESS(35,6))&amp;":"&amp;INDIRECT(ADDRESS(35,7))</f>
        <v>2:13</v>
      </c>
      <c r="K14" s="25" t="s">
        <v>33</v>
      </c>
      <c r="L14" s="139">
        <f ca="1">IF(COUNT(F15:K15)=0,"",COUNTIF(F15:K15,"&gt;0")+0.5*COUNTIF(F15:K15,0))</f>
        <v>0</v>
      </c>
      <c r="M14" s="11"/>
      <c r="N14" s="140">
        <v>6</v>
      </c>
    </row>
    <row r="15" spans="2:14" ht="24" customHeight="1" thickBot="1">
      <c r="B15" s="107"/>
      <c r="C15" s="142"/>
      <c r="D15" s="143"/>
      <c r="E15" s="144"/>
      <c r="F15" s="19">
        <f ca="1">IF(LEN(INDIRECT(ADDRESS(ROW()-1, COLUMN())))=1,"",INDIRECT(ADDRESS(20,7))-INDIRECT(ADDRESS(20,6)))</f>
        <v>-9</v>
      </c>
      <c r="G15" s="20">
        <f ca="1">IF(LEN(INDIRECT(ADDRESS(ROW()-1, COLUMN())))=1,"",INDIRECT(ADDRESS(30,7))-INDIRECT(ADDRESS(30,6)))</f>
        <v>-6</v>
      </c>
      <c r="H15" s="20">
        <f ca="1">IF(LEN(INDIRECT(ADDRESS(ROW()-1, COLUMN())))=1,"",INDIRECT(ADDRESS(40,7))-INDIRECT(ADDRESS(40,6)))</f>
        <v>-6</v>
      </c>
      <c r="I15" s="20">
        <f ca="1">IF(LEN(INDIRECT(ADDRESS(ROW()-1, COLUMN())))=1,"",INDIRECT(ADDRESS(25,6))-INDIRECT(ADDRESS(25,7)))</f>
        <v>-1</v>
      </c>
      <c r="J15" s="20">
        <f ca="1">IF(LEN(INDIRECT(ADDRESS(ROW()-1, COLUMN())))=1,"",INDIRECT(ADDRESS(35,6))-INDIRECT(ADDRESS(35,7)))</f>
        <v>-11</v>
      </c>
      <c r="K15" s="21" t="s">
        <v>33</v>
      </c>
      <c r="L15" s="145"/>
      <c r="M15" s="20"/>
      <c r="N15" s="141"/>
    </row>
    <row r="19" spans="1:13" s="50" customFormat="1" ht="30" customHeight="1" thickBot="1">
      <c r="A19" s="49"/>
      <c r="B19" s="105" t="s">
        <v>4</v>
      </c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3" s="50" customFormat="1" ht="30" customHeight="1" thickBot="1">
      <c r="A20" s="49"/>
      <c r="B20" s="52">
        <v>1</v>
      </c>
      <c r="C20" s="127" t="str">
        <f ca="1">IF(ISBLANK(INDIRECT(ADDRESS(B20*2+2,3))),"",INDIRECT(ADDRESS(B20*2+2,3)))</f>
        <v>Дегтярёва Л. - Дегтярёва М. - Цепелева</v>
      </c>
      <c r="D20" s="127"/>
      <c r="E20" s="128"/>
      <c r="F20" s="53">
        <v>13</v>
      </c>
      <c r="G20" s="54">
        <v>4</v>
      </c>
      <c r="H20" s="129" t="str">
        <f ca="1">IF(ISBLANK(INDIRECT(ADDRESS(K20*2+2,3))),"",INDIRECT(ADDRESS(K20*2+2,3)))</f>
        <v>Нечепуренко В. - Нечепуренко С. - Курганская</v>
      </c>
      <c r="I20" s="127"/>
      <c r="J20" s="127"/>
      <c r="K20" s="52">
        <v>6</v>
      </c>
      <c r="L20" s="55" t="s">
        <v>5</v>
      </c>
      <c r="M20" s="48">
        <v>11</v>
      </c>
    </row>
    <row r="21" spans="1:13" s="50" customFormat="1" ht="30" customHeight="1" thickBot="1">
      <c r="A21" s="49"/>
      <c r="B21" s="52">
        <v>2</v>
      </c>
      <c r="C21" s="127" t="str">
        <f ca="1">IF(ISBLANK(INDIRECT(ADDRESS(B21*2+2,3))),"",INDIRECT(ADDRESS(B21*2+2,3)))</f>
        <v>Капран-Индаяти - Клименко - Лукина</v>
      </c>
      <c r="D21" s="127"/>
      <c r="E21" s="128"/>
      <c r="F21" s="53">
        <v>4</v>
      </c>
      <c r="G21" s="54">
        <v>12</v>
      </c>
      <c r="H21" s="129" t="str">
        <f ca="1">IF(ISBLANK(INDIRECT(ADDRESS(K21*2+2,3))),"",INDIRECT(ADDRESS(K21*2+2,3)))</f>
        <v>Танчин - Балашова - Валибуз П.</v>
      </c>
      <c r="I21" s="127"/>
      <c r="J21" s="127"/>
      <c r="K21" s="52">
        <v>5</v>
      </c>
      <c r="L21" s="55" t="s">
        <v>5</v>
      </c>
      <c r="M21" s="48">
        <v>12</v>
      </c>
    </row>
    <row r="22" spans="1:13" s="50" customFormat="1" ht="30" customHeight="1" thickBot="1">
      <c r="A22" s="49"/>
      <c r="B22" s="52">
        <v>3</v>
      </c>
      <c r="C22" s="127" t="str">
        <f ca="1">IF(ISBLANK(INDIRECT(ADDRESS(B22*2+2,3))),"",INDIRECT(ADDRESS(B22*2+2,3)))</f>
        <v>Ерёмин - Викторов - Анухин</v>
      </c>
      <c r="D22" s="127"/>
      <c r="E22" s="128"/>
      <c r="F22" s="53">
        <v>10</v>
      </c>
      <c r="G22" s="54">
        <v>11</v>
      </c>
      <c r="H22" s="129" t="str">
        <f ca="1">IF(ISBLANK(INDIRECT(ADDRESS(K22*2+2,3))),"",INDIRECT(ADDRESS(K22*2+2,3)))</f>
        <v>Татьянц - Мыльцева (ст.) - Мыльцева (мл.)</v>
      </c>
      <c r="I22" s="127"/>
      <c r="J22" s="127"/>
      <c r="K22" s="52">
        <v>4</v>
      </c>
      <c r="L22" s="55" t="s">
        <v>5</v>
      </c>
      <c r="M22" s="48">
        <v>13</v>
      </c>
    </row>
    <row r="23" spans="1:13" s="50" customFormat="1" ht="30" customHeight="1">
      <c r="A23" s="49"/>
      <c r="M23" s="56"/>
    </row>
    <row r="24" spans="1:13" s="50" customFormat="1" ht="30" customHeight="1" thickBot="1">
      <c r="A24" s="49"/>
      <c r="B24" s="105" t="s">
        <v>6</v>
      </c>
      <c r="C24" s="105"/>
      <c r="D24" s="105"/>
      <c r="E24" s="105"/>
      <c r="F24" s="105"/>
      <c r="G24" s="105"/>
      <c r="H24" s="105"/>
      <c r="I24" s="105"/>
      <c r="J24" s="105"/>
      <c r="K24" s="105"/>
      <c r="M24" s="56"/>
    </row>
    <row r="25" spans="1:13" s="50" customFormat="1" ht="30" customHeight="1" thickBot="1">
      <c r="A25" s="49"/>
      <c r="B25" s="52">
        <v>6</v>
      </c>
      <c r="C25" s="127" t="str">
        <f ca="1">IF(ISBLANK(INDIRECT(ADDRESS(B25*2+2,3))),"",INDIRECT(ADDRESS(B25*2+2,3)))</f>
        <v>Нечепуренко В. - Нечепуренко С. - Курганская</v>
      </c>
      <c r="D25" s="127"/>
      <c r="E25" s="128"/>
      <c r="F25" s="53">
        <v>12</v>
      </c>
      <c r="G25" s="54">
        <v>13</v>
      </c>
      <c r="H25" s="129" t="str">
        <f ca="1">IF(ISBLANK(INDIRECT(ADDRESS(K25*2+2,3))),"",INDIRECT(ADDRESS(K25*2+2,3)))</f>
        <v>Татьянц - Мыльцева (ст.) - Мыльцева (мл.)</v>
      </c>
      <c r="I25" s="127"/>
      <c r="J25" s="127"/>
      <c r="K25" s="52">
        <v>4</v>
      </c>
      <c r="L25" s="55" t="s">
        <v>5</v>
      </c>
      <c r="M25" s="48">
        <v>1</v>
      </c>
    </row>
    <row r="26" spans="1:13" s="50" customFormat="1" ht="30" customHeight="1" thickBot="1">
      <c r="A26" s="49"/>
      <c r="B26" s="52">
        <v>5</v>
      </c>
      <c r="C26" s="127" t="str">
        <f ca="1">IF(ISBLANK(INDIRECT(ADDRESS(B26*2+2,3))),"",INDIRECT(ADDRESS(B26*2+2,3)))</f>
        <v>Танчин - Балашова - Валибуз П.</v>
      </c>
      <c r="D26" s="127"/>
      <c r="E26" s="128"/>
      <c r="F26" s="53">
        <v>2</v>
      </c>
      <c r="G26" s="54">
        <v>13</v>
      </c>
      <c r="H26" s="129" t="str">
        <f ca="1">IF(ISBLANK(INDIRECT(ADDRESS(K26*2+2,3))),"",INDIRECT(ADDRESS(K26*2+2,3)))</f>
        <v>Ерёмин - Викторов - Анухин</v>
      </c>
      <c r="I26" s="127"/>
      <c r="J26" s="127"/>
      <c r="K26" s="52">
        <v>3</v>
      </c>
      <c r="L26" s="55" t="s">
        <v>5</v>
      </c>
      <c r="M26" s="48">
        <v>2</v>
      </c>
    </row>
    <row r="27" spans="1:13" s="50" customFormat="1" ht="30" customHeight="1" thickBot="1">
      <c r="A27" s="49"/>
      <c r="B27" s="52">
        <v>1</v>
      </c>
      <c r="C27" s="127" t="str">
        <f ca="1">IF(ISBLANK(INDIRECT(ADDRESS(B27*2+2,3))),"",INDIRECT(ADDRESS(B27*2+2,3)))</f>
        <v>Дегтярёва Л. - Дегтярёва М. - Цепелева</v>
      </c>
      <c r="D27" s="127"/>
      <c r="E27" s="128"/>
      <c r="F27" s="53">
        <v>12</v>
      </c>
      <c r="G27" s="54">
        <v>6</v>
      </c>
      <c r="H27" s="129" t="str">
        <f ca="1">IF(ISBLANK(INDIRECT(ADDRESS(K27*2+2,3))),"",INDIRECT(ADDRESS(K27*2+2,3)))</f>
        <v>Капран-Индаяти - Клименко - Лукина</v>
      </c>
      <c r="I27" s="127"/>
      <c r="J27" s="127"/>
      <c r="K27" s="52">
        <v>2</v>
      </c>
      <c r="L27" s="55" t="s">
        <v>5</v>
      </c>
      <c r="M27" s="48">
        <v>3</v>
      </c>
    </row>
    <row r="28" spans="1:13" s="50" customFormat="1" ht="30" customHeight="1">
      <c r="A28" s="49"/>
      <c r="M28" s="56"/>
    </row>
    <row r="29" spans="1:13" s="50" customFormat="1" ht="30" customHeight="1" thickBot="1">
      <c r="A29" s="49"/>
      <c r="B29" s="105" t="s">
        <v>7</v>
      </c>
      <c r="C29" s="105"/>
      <c r="D29" s="105"/>
      <c r="E29" s="105"/>
      <c r="F29" s="105"/>
      <c r="G29" s="105"/>
      <c r="H29" s="105"/>
      <c r="I29" s="105"/>
      <c r="J29" s="105"/>
      <c r="K29" s="105"/>
      <c r="M29" s="56"/>
    </row>
    <row r="30" spans="1:13" s="50" customFormat="1" ht="30" customHeight="1" thickBot="1">
      <c r="A30" s="49"/>
      <c r="B30" s="52">
        <v>2</v>
      </c>
      <c r="C30" s="127" t="str">
        <f ca="1">IF(ISBLANK(INDIRECT(ADDRESS(B30*2+2,3))),"",INDIRECT(ADDRESS(B30*2+2,3)))</f>
        <v>Капран-Индаяти - Клименко - Лукина</v>
      </c>
      <c r="D30" s="127"/>
      <c r="E30" s="128"/>
      <c r="F30" s="53">
        <v>9</v>
      </c>
      <c r="G30" s="54">
        <v>3</v>
      </c>
      <c r="H30" s="129" t="str">
        <f ca="1">IF(ISBLANK(INDIRECT(ADDRESS(K30*2+2,3))),"",INDIRECT(ADDRESS(K30*2+2,3)))</f>
        <v>Нечепуренко В. - Нечепуренко С. - Курганская</v>
      </c>
      <c r="I30" s="127"/>
      <c r="J30" s="127"/>
      <c r="K30" s="52">
        <v>6</v>
      </c>
      <c r="L30" s="55" t="s">
        <v>5</v>
      </c>
      <c r="M30" s="48">
        <v>13</v>
      </c>
    </row>
    <row r="31" spans="1:13" s="50" customFormat="1" ht="30" customHeight="1" thickBot="1">
      <c r="A31" s="49"/>
      <c r="B31" s="52">
        <v>3</v>
      </c>
      <c r="C31" s="127" t="str">
        <f ca="1">IF(ISBLANK(INDIRECT(ADDRESS(B31*2+2,3))),"",INDIRECT(ADDRESS(B31*2+2,3)))</f>
        <v>Ерёмин - Викторов - Анухин</v>
      </c>
      <c r="D31" s="127"/>
      <c r="E31" s="128"/>
      <c r="F31" s="53">
        <v>13</v>
      </c>
      <c r="G31" s="54">
        <v>0</v>
      </c>
      <c r="H31" s="129" t="str">
        <f ca="1">IF(ISBLANK(INDIRECT(ADDRESS(K31*2+2,3))),"",INDIRECT(ADDRESS(K31*2+2,3)))</f>
        <v>Дегтярёва Л. - Дегтярёва М. - Цепелева</v>
      </c>
      <c r="I31" s="127"/>
      <c r="J31" s="127"/>
      <c r="K31" s="52">
        <v>1</v>
      </c>
      <c r="L31" s="55" t="s">
        <v>5</v>
      </c>
      <c r="M31" s="48">
        <v>11</v>
      </c>
    </row>
    <row r="32" spans="1:13" s="50" customFormat="1" ht="30" customHeight="1" thickBot="1">
      <c r="A32" s="49"/>
      <c r="B32" s="52">
        <v>4</v>
      </c>
      <c r="C32" s="127" t="str">
        <f ca="1">IF(ISBLANK(INDIRECT(ADDRESS(B32*2+2,3))),"",INDIRECT(ADDRESS(B32*2+2,3)))</f>
        <v>Татьянц - Мыльцева (ст.) - Мыльцева (мл.)</v>
      </c>
      <c r="D32" s="127"/>
      <c r="E32" s="128"/>
      <c r="F32" s="53">
        <v>3</v>
      </c>
      <c r="G32" s="54">
        <v>13</v>
      </c>
      <c r="H32" s="129" t="str">
        <f ca="1">IF(ISBLANK(INDIRECT(ADDRESS(K32*2+2,3))),"",INDIRECT(ADDRESS(K32*2+2,3)))</f>
        <v>Танчин - Балашова - Валибуз П.</v>
      </c>
      <c r="I32" s="127"/>
      <c r="J32" s="127"/>
      <c r="K32" s="52">
        <v>5</v>
      </c>
      <c r="L32" s="55" t="s">
        <v>5</v>
      </c>
      <c r="M32" s="48">
        <v>12</v>
      </c>
    </row>
    <row r="33" spans="1:13" s="50" customFormat="1" ht="30" customHeight="1">
      <c r="A33" s="49"/>
      <c r="M33" s="56"/>
    </row>
    <row r="34" spans="1:13" s="50" customFormat="1" ht="30" customHeight="1" thickBot="1">
      <c r="A34" s="49"/>
      <c r="B34" s="105" t="s">
        <v>8</v>
      </c>
      <c r="C34" s="105"/>
      <c r="D34" s="105"/>
      <c r="E34" s="105"/>
      <c r="F34" s="105"/>
      <c r="G34" s="105"/>
      <c r="H34" s="105"/>
      <c r="I34" s="105"/>
      <c r="J34" s="105"/>
      <c r="K34" s="105"/>
      <c r="M34" s="56"/>
    </row>
    <row r="35" spans="1:13" s="50" customFormat="1" ht="30" customHeight="1" thickBot="1">
      <c r="A35" s="49"/>
      <c r="B35" s="52">
        <v>6</v>
      </c>
      <c r="C35" s="127" t="str">
        <f ca="1">IF(ISBLANK(INDIRECT(ADDRESS(B35*2+2,3))),"",INDIRECT(ADDRESS(B35*2+2,3)))</f>
        <v>Нечепуренко В. - Нечепуренко С. - Курганская</v>
      </c>
      <c r="D35" s="127"/>
      <c r="E35" s="128"/>
      <c r="F35" s="53">
        <v>2</v>
      </c>
      <c r="G35" s="54">
        <v>13</v>
      </c>
      <c r="H35" s="129" t="str">
        <f ca="1">IF(ISBLANK(INDIRECT(ADDRESS(K35*2+2,3))),"",INDIRECT(ADDRESS(K35*2+2,3)))</f>
        <v>Танчин - Балашова - Валибуз П.</v>
      </c>
      <c r="I35" s="127"/>
      <c r="J35" s="127"/>
      <c r="K35" s="52">
        <v>5</v>
      </c>
      <c r="L35" s="55" t="s">
        <v>5</v>
      </c>
      <c r="M35" s="48">
        <v>2</v>
      </c>
    </row>
    <row r="36" spans="1:13" s="50" customFormat="1" ht="30" customHeight="1" thickBot="1">
      <c r="A36" s="49"/>
      <c r="B36" s="52">
        <v>1</v>
      </c>
      <c r="C36" s="127" t="str">
        <f ca="1">IF(ISBLANK(INDIRECT(ADDRESS(B36*2+2,3))),"",INDIRECT(ADDRESS(B36*2+2,3)))</f>
        <v>Дегтярёва Л. - Дегтярёва М. - Цепелева</v>
      </c>
      <c r="D36" s="127"/>
      <c r="E36" s="128"/>
      <c r="F36" s="53">
        <v>6</v>
      </c>
      <c r="G36" s="54">
        <v>13</v>
      </c>
      <c r="H36" s="129" t="str">
        <f ca="1">IF(ISBLANK(INDIRECT(ADDRESS(K36*2+2,3))),"",INDIRECT(ADDRESS(K36*2+2,3)))</f>
        <v>Татьянц - Мыльцева (ст.) - Мыльцева (мл.)</v>
      </c>
      <c r="I36" s="127"/>
      <c r="J36" s="127"/>
      <c r="K36" s="52">
        <v>4</v>
      </c>
      <c r="L36" s="55" t="s">
        <v>5</v>
      </c>
      <c r="M36" s="48">
        <v>1</v>
      </c>
    </row>
    <row r="37" spans="1:13" s="50" customFormat="1" ht="30" customHeight="1" thickBot="1">
      <c r="A37" s="49"/>
      <c r="B37" s="52">
        <v>2</v>
      </c>
      <c r="C37" s="127" t="str">
        <f ca="1">IF(ISBLANK(INDIRECT(ADDRESS(B37*2+2,3))),"",INDIRECT(ADDRESS(B37*2+2,3)))</f>
        <v>Капран-Индаяти - Клименко - Лукина</v>
      </c>
      <c r="D37" s="127"/>
      <c r="E37" s="128"/>
      <c r="F37" s="53">
        <v>5</v>
      </c>
      <c r="G37" s="54">
        <v>9</v>
      </c>
      <c r="H37" s="129" t="str">
        <f ca="1">IF(ISBLANK(INDIRECT(ADDRESS(K37*2+2,3))),"",INDIRECT(ADDRESS(K37*2+2,3)))</f>
        <v>Ерёмин - Викторов - Анухин</v>
      </c>
      <c r="I37" s="127"/>
      <c r="J37" s="127"/>
      <c r="K37" s="52">
        <v>3</v>
      </c>
      <c r="L37" s="55" t="s">
        <v>5</v>
      </c>
      <c r="M37" s="48">
        <v>3</v>
      </c>
    </row>
    <row r="38" spans="1:13" s="50" customFormat="1" ht="30" customHeight="1">
      <c r="A38" s="49"/>
      <c r="M38" s="56"/>
    </row>
    <row r="39" spans="1:13" s="50" customFormat="1" ht="30" customHeight="1" thickBot="1">
      <c r="A39" s="49"/>
      <c r="B39" s="105" t="s">
        <v>9</v>
      </c>
      <c r="C39" s="105"/>
      <c r="D39" s="105"/>
      <c r="E39" s="105"/>
      <c r="F39" s="105"/>
      <c r="G39" s="105"/>
      <c r="H39" s="105"/>
      <c r="I39" s="105"/>
      <c r="J39" s="105"/>
      <c r="K39" s="105"/>
      <c r="M39" s="56"/>
    </row>
    <row r="40" spans="1:13" s="50" customFormat="1" ht="30" customHeight="1" thickBot="1">
      <c r="A40" s="49"/>
      <c r="B40" s="52">
        <v>3</v>
      </c>
      <c r="C40" s="127" t="str">
        <f ca="1">IF(ISBLANK(INDIRECT(ADDRESS(B40*2+2,3))),"",INDIRECT(ADDRESS(B40*2+2,3)))</f>
        <v>Ерёмин - Викторов - Анухин</v>
      </c>
      <c r="D40" s="127"/>
      <c r="E40" s="128"/>
      <c r="F40" s="53">
        <v>9</v>
      </c>
      <c r="G40" s="54">
        <v>3</v>
      </c>
      <c r="H40" s="129" t="str">
        <f ca="1">IF(ISBLANK(INDIRECT(ADDRESS(K40*2+2,3))),"",INDIRECT(ADDRESS(K40*2+2,3)))</f>
        <v>Нечепуренко В. - Нечепуренко С. - Курганская</v>
      </c>
      <c r="I40" s="127"/>
      <c r="J40" s="127"/>
      <c r="K40" s="52">
        <v>6</v>
      </c>
      <c r="L40" s="55" t="s">
        <v>5</v>
      </c>
      <c r="M40" s="48">
        <v>11</v>
      </c>
    </row>
    <row r="41" spans="1:13" s="50" customFormat="1" ht="30" customHeight="1" thickBot="1">
      <c r="A41" s="49"/>
      <c r="B41" s="52">
        <v>4</v>
      </c>
      <c r="C41" s="127" t="str">
        <f ca="1">IF(ISBLANK(INDIRECT(ADDRESS(B41*2+2,3))),"",INDIRECT(ADDRESS(B41*2+2,3)))</f>
        <v>Татьянц - Мыльцева (ст.) - Мыльцева (мл.)</v>
      </c>
      <c r="D41" s="127"/>
      <c r="E41" s="128"/>
      <c r="F41" s="53">
        <v>13</v>
      </c>
      <c r="G41" s="54">
        <v>6</v>
      </c>
      <c r="H41" s="129" t="str">
        <f ca="1">IF(ISBLANK(INDIRECT(ADDRESS(K41*2+2,3))),"",INDIRECT(ADDRESS(K41*2+2,3)))</f>
        <v>Капран-Индаяти - Клименко - Лукина</v>
      </c>
      <c r="I41" s="127"/>
      <c r="J41" s="127"/>
      <c r="K41" s="52">
        <v>2</v>
      </c>
      <c r="L41" s="55" t="s">
        <v>5</v>
      </c>
      <c r="M41" s="48">
        <v>12</v>
      </c>
    </row>
    <row r="42" spans="1:13" s="50" customFormat="1" ht="30" customHeight="1" thickBot="1">
      <c r="A42" s="49"/>
      <c r="B42" s="52">
        <v>5</v>
      </c>
      <c r="C42" s="127" t="str">
        <f ca="1">IF(ISBLANK(INDIRECT(ADDRESS(B42*2+2,3))),"",INDIRECT(ADDRESS(B42*2+2,3)))</f>
        <v>Танчин - Балашова - Валибуз П.</v>
      </c>
      <c r="D42" s="127"/>
      <c r="E42" s="128"/>
      <c r="F42" s="53">
        <v>11</v>
      </c>
      <c r="G42" s="54">
        <v>7</v>
      </c>
      <c r="H42" s="129" t="str">
        <f ca="1">IF(ISBLANK(INDIRECT(ADDRESS(K42*2+2,3))),"",INDIRECT(ADDRESS(K42*2+2,3)))</f>
        <v>Дегтярёва Л. - Дегтярёва М. - Цепелева</v>
      </c>
      <c r="I42" s="127"/>
      <c r="J42" s="127"/>
      <c r="K42" s="52">
        <v>1</v>
      </c>
      <c r="L42" s="55" t="s">
        <v>5</v>
      </c>
      <c r="M42" s="48">
        <v>13</v>
      </c>
    </row>
    <row r="46" spans="1:13" ht="21">
      <c r="B46" s="29" t="s">
        <v>29</v>
      </c>
      <c r="C46" s="29"/>
      <c r="D46" s="29"/>
      <c r="E46" s="29"/>
    </row>
    <row r="47" spans="1:13" ht="21">
      <c r="B47" s="29"/>
      <c r="C47" s="29"/>
      <c r="D47" s="29"/>
      <c r="E47" s="29"/>
    </row>
    <row r="48" spans="1:13" ht="21">
      <c r="B48" s="29"/>
      <c r="C48" s="29"/>
      <c r="D48" s="29"/>
      <c r="E48" s="29"/>
    </row>
    <row r="49" spans="2:5" ht="21">
      <c r="B49" s="29" t="s">
        <v>31</v>
      </c>
      <c r="C49" s="29"/>
      <c r="D49" s="29"/>
      <c r="E49" s="29"/>
    </row>
  </sheetData>
  <sheetCalcPr fullCalcOnLoad="1"/>
  <mergeCells count="61">
    <mergeCell ref="C41:E41"/>
    <mergeCell ref="H41:J41"/>
    <mergeCell ref="C42:E42"/>
    <mergeCell ref="H42:J42"/>
    <mergeCell ref="B39:K39"/>
    <mergeCell ref="C40:E40"/>
    <mergeCell ref="H40:J40"/>
    <mergeCell ref="C35:E35"/>
    <mergeCell ref="H35:J35"/>
    <mergeCell ref="C36:E36"/>
    <mergeCell ref="H36:J36"/>
    <mergeCell ref="C37:E37"/>
    <mergeCell ref="H37:J37"/>
    <mergeCell ref="C31:E31"/>
    <mergeCell ref="H31:J31"/>
    <mergeCell ref="C26:E26"/>
    <mergeCell ref="H26:J26"/>
    <mergeCell ref="C27:E27"/>
    <mergeCell ref="H27:J27"/>
    <mergeCell ref="C21:E21"/>
    <mergeCell ref="H21:J21"/>
    <mergeCell ref="C32:E32"/>
    <mergeCell ref="H32:J32"/>
    <mergeCell ref="B34:K34"/>
    <mergeCell ref="C25:E25"/>
    <mergeCell ref="H25:J25"/>
    <mergeCell ref="B29:K29"/>
    <mergeCell ref="C30:E30"/>
    <mergeCell ref="H30:J30"/>
    <mergeCell ref="C22:E22"/>
    <mergeCell ref="H22:J22"/>
    <mergeCell ref="B24:K24"/>
    <mergeCell ref="N14:N15"/>
    <mergeCell ref="B19:K19"/>
    <mergeCell ref="C20:E20"/>
    <mergeCell ref="H20:J20"/>
    <mergeCell ref="B14:B15"/>
    <mergeCell ref="C14:E15"/>
    <mergeCell ref="L14:L15"/>
    <mergeCell ref="B12:B13"/>
    <mergeCell ref="C12:E13"/>
    <mergeCell ref="L12:L13"/>
    <mergeCell ref="N12:N13"/>
    <mergeCell ref="B10:B11"/>
    <mergeCell ref="C10:E11"/>
    <mergeCell ref="L10:L11"/>
    <mergeCell ref="N10:N11"/>
    <mergeCell ref="B8:B9"/>
    <mergeCell ref="C8:E9"/>
    <mergeCell ref="L8:L9"/>
    <mergeCell ref="N8:N9"/>
    <mergeCell ref="B6:B7"/>
    <mergeCell ref="C6:E7"/>
    <mergeCell ref="L6:L7"/>
    <mergeCell ref="N6:N7"/>
    <mergeCell ref="N4:N5"/>
    <mergeCell ref="B1:N1"/>
    <mergeCell ref="C3:E3"/>
    <mergeCell ref="B4:B5"/>
    <mergeCell ref="C4:E5"/>
    <mergeCell ref="L4:L5"/>
  </mergeCells>
  <phoneticPr fontId="15" type="noConversion"/>
  <printOptions horizontalCentered="1"/>
  <pageMargins left="0.25" right="0.25" top="0.75" bottom="0.75" header="0.3" footer="0.3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topLeftCell="A21" zoomScaleNormal="100" workbookViewId="0">
      <selection activeCell="B43" sqref="B43:E46"/>
    </sheetView>
  </sheetViews>
  <sheetFormatPr defaultRowHeight="15" customHeight="1"/>
  <cols>
    <col min="1" max="1" width="9.140625" style="24"/>
    <col min="2" max="16384" width="9.140625" style="23"/>
  </cols>
  <sheetData>
    <row r="1" spans="2:15" ht="84" customHeight="1">
      <c r="B1" s="106" t="s">
        <v>122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2:15" ht="15" customHeight="1">
      <c r="C2" s="26"/>
    </row>
    <row r="3" spans="2:15" ht="15" customHeight="1">
      <c r="C3" s="26"/>
    </row>
    <row r="4" spans="2:15" ht="15" customHeight="1">
      <c r="B4" s="112" t="s">
        <v>111</v>
      </c>
      <c r="C4" s="113"/>
      <c r="D4" s="57">
        <v>3</v>
      </c>
      <c r="E4" s="58"/>
    </row>
    <row r="5" spans="2:15" ht="15" customHeight="1">
      <c r="C5" s="26"/>
      <c r="E5" s="59"/>
    </row>
    <row r="6" spans="2:15" ht="15" customHeight="1">
      <c r="B6" s="22" t="s">
        <v>5</v>
      </c>
      <c r="C6" s="26">
        <v>1</v>
      </c>
      <c r="E6" s="60"/>
      <c r="F6" s="111" t="str">
        <f>IF(ISBLANK(D4),"",IF(D4&gt;D8,B4,B8))</f>
        <v>Дегтярёва</v>
      </c>
      <c r="G6" s="113"/>
      <c r="H6" s="57">
        <v>5</v>
      </c>
      <c r="I6" s="58"/>
    </row>
    <row r="7" spans="2:15" ht="15" customHeight="1">
      <c r="C7" s="26"/>
      <c r="E7" s="60"/>
      <c r="I7" s="59"/>
    </row>
    <row r="8" spans="2:15" ht="15" customHeight="1">
      <c r="B8" s="112" t="s">
        <v>112</v>
      </c>
      <c r="C8" s="113"/>
      <c r="D8" s="57">
        <v>11</v>
      </c>
      <c r="E8" s="61"/>
      <c r="I8" s="60"/>
    </row>
    <row r="9" spans="2:15" ht="15" customHeight="1">
      <c r="C9" s="26"/>
      <c r="I9" s="60"/>
    </row>
    <row r="10" spans="2:15" ht="15" customHeight="1">
      <c r="C10" s="26"/>
      <c r="G10" s="22" t="s">
        <v>5</v>
      </c>
      <c r="H10" s="26">
        <v>11</v>
      </c>
      <c r="I10" s="60"/>
      <c r="J10" s="111" t="str">
        <f>IF(ISBLANK(H6),"",IF(H6&gt;H14,F6,F14))</f>
        <v>Лукин</v>
      </c>
      <c r="K10" s="112"/>
      <c r="L10" s="57">
        <v>5</v>
      </c>
      <c r="M10" s="58"/>
    </row>
    <row r="11" spans="2:15" ht="15" customHeight="1">
      <c r="C11" s="26"/>
      <c r="I11" s="60"/>
      <c r="M11" s="59"/>
    </row>
    <row r="12" spans="2:15" ht="15" customHeight="1">
      <c r="B12" s="112" t="s">
        <v>113</v>
      </c>
      <c r="C12" s="113"/>
      <c r="D12" s="57">
        <v>13</v>
      </c>
      <c r="E12" s="58"/>
      <c r="I12" s="60"/>
      <c r="M12" s="60"/>
    </row>
    <row r="13" spans="2:15" ht="15" customHeight="1">
      <c r="C13" s="26"/>
      <c r="E13" s="59"/>
      <c r="I13" s="60"/>
      <c r="M13" s="60"/>
    </row>
    <row r="14" spans="2:15" ht="15" customHeight="1">
      <c r="B14" s="22" t="s">
        <v>5</v>
      </c>
      <c r="C14" s="26">
        <v>2</v>
      </c>
      <c r="E14" s="60"/>
      <c r="F14" s="111" t="str">
        <f>IF(ISBLANK(D12),"",IF(D12&gt;D16,B12,B16))</f>
        <v>Лукин</v>
      </c>
      <c r="G14" s="113"/>
      <c r="H14" s="57">
        <v>7</v>
      </c>
      <c r="I14" s="61"/>
      <c r="M14" s="60"/>
    </row>
    <row r="15" spans="2:15" ht="15" customHeight="1">
      <c r="E15" s="60"/>
      <c r="M15" s="60"/>
    </row>
    <row r="16" spans="2:15" ht="15" customHeight="1">
      <c r="B16" s="112" t="s">
        <v>114</v>
      </c>
      <c r="C16" s="113"/>
      <c r="D16" s="57">
        <v>5</v>
      </c>
      <c r="E16" s="61"/>
      <c r="M16" s="60"/>
    </row>
    <row r="17" spans="2:15" ht="15" customHeight="1">
      <c r="M17" s="60"/>
    </row>
    <row r="18" spans="2:15" ht="15" customHeight="1">
      <c r="B18" s="22"/>
      <c r="K18" s="22" t="s">
        <v>5</v>
      </c>
      <c r="L18" s="26">
        <v>1</v>
      </c>
      <c r="M18" s="60"/>
      <c r="N18" s="111" t="str">
        <f>IF(ISBLANK(L10),"",IF(L10&gt;L26,J10,J26))</f>
        <v>Ерёмин</v>
      </c>
      <c r="O18" s="112"/>
    </row>
    <row r="19" spans="2:15" ht="15" customHeight="1">
      <c r="M19" s="60"/>
    </row>
    <row r="20" spans="2:15" ht="15" customHeight="1">
      <c r="B20" s="112" t="s">
        <v>115</v>
      </c>
      <c r="C20" s="113"/>
      <c r="D20" s="57">
        <v>13</v>
      </c>
      <c r="E20" s="58"/>
      <c r="M20" s="60"/>
    </row>
    <row r="21" spans="2:15" ht="15" customHeight="1">
      <c r="E21" s="59"/>
      <c r="M21" s="60"/>
    </row>
    <row r="22" spans="2:15" ht="15" customHeight="1">
      <c r="B22" s="22" t="s">
        <v>5</v>
      </c>
      <c r="C22" s="26">
        <v>3</v>
      </c>
      <c r="E22" s="60"/>
      <c r="F22" s="111" t="str">
        <f>IF(ISBLANK(D20),"",IF(D20&gt;D24,B20,B24))</f>
        <v>Ерёмин</v>
      </c>
      <c r="G22" s="113"/>
      <c r="H22" s="57">
        <v>13</v>
      </c>
      <c r="I22" s="58"/>
      <c r="M22" s="60"/>
    </row>
    <row r="23" spans="2:15" ht="15" customHeight="1">
      <c r="E23" s="60"/>
      <c r="I23" s="59"/>
      <c r="M23" s="60"/>
    </row>
    <row r="24" spans="2:15" ht="15" customHeight="1">
      <c r="B24" s="112" t="s">
        <v>116</v>
      </c>
      <c r="C24" s="113"/>
      <c r="D24" s="57">
        <v>7</v>
      </c>
      <c r="E24" s="61"/>
      <c r="I24" s="60"/>
      <c r="M24" s="60"/>
    </row>
    <row r="25" spans="2:15" ht="15" customHeight="1">
      <c r="I25" s="60"/>
      <c r="M25" s="60"/>
    </row>
    <row r="26" spans="2:15" ht="15" customHeight="1">
      <c r="G26" s="22" t="s">
        <v>5</v>
      </c>
      <c r="H26" s="26">
        <v>12</v>
      </c>
      <c r="I26" s="60"/>
      <c r="J26" s="111" t="str">
        <f>IF(ISBLANK(H22),"",IF(H22&gt;H30,F22,F30))</f>
        <v>Ерёмин</v>
      </c>
      <c r="K26" s="113"/>
      <c r="L26" s="57">
        <v>13</v>
      </c>
      <c r="M26" s="61"/>
    </row>
    <row r="27" spans="2:15" ht="15" customHeight="1">
      <c r="I27" s="60"/>
    </row>
    <row r="28" spans="2:15" ht="15" customHeight="1">
      <c r="B28" s="112" t="s">
        <v>117</v>
      </c>
      <c r="C28" s="113"/>
      <c r="D28" s="57">
        <v>12</v>
      </c>
      <c r="E28" s="58"/>
      <c r="I28" s="60"/>
    </row>
    <row r="29" spans="2:15" ht="15" customHeight="1">
      <c r="E29" s="59"/>
      <c r="I29" s="60"/>
    </row>
    <row r="30" spans="2:15" ht="15" customHeight="1">
      <c r="B30" s="22" t="s">
        <v>5</v>
      </c>
      <c r="C30" s="26">
        <v>12</v>
      </c>
      <c r="E30" s="60"/>
      <c r="F30" s="111" t="str">
        <f>IF(ISBLANK(D28),"",IF(D28&gt;D32,B28,B32))</f>
        <v>Татьянц</v>
      </c>
      <c r="G30" s="113"/>
      <c r="H30" s="57">
        <v>1</v>
      </c>
      <c r="I30" s="61"/>
    </row>
    <row r="31" spans="2:15" ht="15" customHeight="1">
      <c r="E31" s="60"/>
    </row>
    <row r="32" spans="2:15" ht="15" customHeight="1">
      <c r="B32" s="112" t="s">
        <v>118</v>
      </c>
      <c r="C32" s="113"/>
      <c r="D32" s="57">
        <v>11</v>
      </c>
      <c r="E32" s="61"/>
    </row>
    <row r="36" spans="2:7" ht="15" customHeight="1">
      <c r="B36" s="112" t="str">
        <f>IF(ISBLANK(H6),"",IF(H6&gt;H14,F14,F6))</f>
        <v>Дегтярёва</v>
      </c>
      <c r="C36" s="113"/>
      <c r="D36" s="57">
        <v>7</v>
      </c>
      <c r="E36" s="58"/>
      <c r="F36" s="114"/>
      <c r="G36" s="114"/>
    </row>
    <row r="37" spans="2:7" ht="15" customHeight="1">
      <c r="E37" s="59"/>
    </row>
    <row r="38" spans="2:7" ht="15" customHeight="1">
      <c r="B38" s="22" t="s">
        <v>5</v>
      </c>
      <c r="C38" s="26">
        <v>2</v>
      </c>
      <c r="E38" s="60"/>
      <c r="F38" s="111" t="str">
        <f>IF(ISBLANK(D36),"",IF(D36&gt;D40,B36,B40))</f>
        <v>Татьянц</v>
      </c>
      <c r="G38" s="112"/>
    </row>
    <row r="39" spans="2:7" ht="15" customHeight="1">
      <c r="E39" s="60"/>
    </row>
    <row r="40" spans="2:7" ht="15" customHeight="1">
      <c r="B40" s="112" t="str">
        <f>IF(ISBLANK(H22),"",IF(H22&gt;H30,F30,F22))</f>
        <v>Татьянц</v>
      </c>
      <c r="C40" s="113"/>
      <c r="D40" s="57">
        <v>13</v>
      </c>
      <c r="E40" s="61"/>
    </row>
    <row r="43" spans="2:7" ht="15" customHeight="1">
      <c r="B43" s="29" t="s">
        <v>29</v>
      </c>
      <c r="C43" s="29"/>
      <c r="D43" s="29"/>
      <c r="E43" s="29"/>
    </row>
    <row r="44" spans="2:7" ht="15" customHeight="1">
      <c r="B44" s="29"/>
      <c r="C44" s="29"/>
      <c r="D44" s="29"/>
      <c r="E44" s="29"/>
    </row>
    <row r="45" spans="2:7" ht="15" customHeight="1">
      <c r="B45" s="29"/>
      <c r="C45" s="29"/>
      <c r="D45" s="29"/>
      <c r="E45" s="29"/>
    </row>
    <row r="46" spans="2:7" ht="15" customHeight="1">
      <c r="B46" s="29" t="s">
        <v>31</v>
      </c>
      <c r="C46" s="29"/>
      <c r="D46" s="29"/>
      <c r="E46" s="29"/>
    </row>
  </sheetData>
  <mergeCells count="20">
    <mergeCell ref="F38:G38"/>
    <mergeCell ref="B40:C40"/>
    <mergeCell ref="B1:O1"/>
    <mergeCell ref="J26:K26"/>
    <mergeCell ref="B28:C28"/>
    <mergeCell ref="F30:G30"/>
    <mergeCell ref="B32:C32"/>
    <mergeCell ref="B36:C36"/>
    <mergeCell ref="F36:G36"/>
    <mergeCell ref="F14:G14"/>
    <mergeCell ref="B24:C24"/>
    <mergeCell ref="B4:C4"/>
    <mergeCell ref="B16:C16"/>
    <mergeCell ref="N18:O18"/>
    <mergeCell ref="B20:C20"/>
    <mergeCell ref="F22:G22"/>
    <mergeCell ref="F6:G6"/>
    <mergeCell ref="B8:C8"/>
    <mergeCell ref="J10:K10"/>
    <mergeCell ref="B12:C12"/>
  </mergeCells>
  <phoneticPr fontId="15" type="noConversion"/>
  <pageMargins left="0.25" right="0.25" top="0.75" bottom="0.75" header="0.3" footer="0.3"/>
  <pageSetup paperSize="9" scale="78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workbookViewId="0">
      <selection activeCell="B28" sqref="B28:E31"/>
    </sheetView>
  </sheetViews>
  <sheetFormatPr defaultRowHeight="15" customHeight="1"/>
  <cols>
    <col min="1" max="1" width="9.140625" style="24"/>
    <col min="2" max="16384" width="9.140625" style="23"/>
  </cols>
  <sheetData>
    <row r="1" spans="2:15" ht="82.5" customHeight="1">
      <c r="B1" s="106" t="s">
        <v>123</v>
      </c>
      <c r="C1" s="106"/>
      <c r="D1" s="106"/>
      <c r="E1" s="106"/>
      <c r="F1" s="106"/>
      <c r="G1" s="106"/>
      <c r="H1" s="106"/>
      <c r="I1" s="106"/>
      <c r="J1" s="106"/>
      <c r="K1" s="106"/>
      <c r="L1" s="34"/>
      <c r="M1" s="34"/>
      <c r="N1" s="34"/>
      <c r="O1" s="34"/>
    </row>
    <row r="2" spans="2:15" ht="15" customHeight="1">
      <c r="C2" s="26"/>
    </row>
    <row r="3" spans="2:15" ht="15" customHeight="1">
      <c r="C3" s="26"/>
    </row>
    <row r="4" spans="2:15" ht="15" customHeight="1">
      <c r="B4" s="112" t="s">
        <v>111</v>
      </c>
      <c r="C4" s="113"/>
      <c r="D4" s="57">
        <v>3</v>
      </c>
      <c r="E4" s="58"/>
    </row>
    <row r="5" spans="2:15" ht="15" customHeight="1">
      <c r="C5" s="26"/>
      <c r="E5" s="59"/>
    </row>
    <row r="6" spans="2:15" ht="15" customHeight="1">
      <c r="B6" s="22" t="s">
        <v>5</v>
      </c>
      <c r="C6" s="26">
        <v>3</v>
      </c>
      <c r="E6" s="60"/>
      <c r="F6" s="111" t="str">
        <f>IF(ISBLANK(D4),"",IF(D4&gt;D8,B4,B8))</f>
        <v>Танчин</v>
      </c>
      <c r="G6" s="113"/>
      <c r="H6" s="57">
        <v>13</v>
      </c>
      <c r="I6" s="58"/>
    </row>
    <row r="7" spans="2:15" ht="15" customHeight="1">
      <c r="C7" s="26"/>
      <c r="E7" s="60"/>
      <c r="I7" s="59"/>
    </row>
    <row r="8" spans="2:15" ht="15" customHeight="1">
      <c r="B8" s="112" t="s">
        <v>114</v>
      </c>
      <c r="C8" s="113"/>
      <c r="D8" s="57">
        <v>13</v>
      </c>
      <c r="E8" s="61"/>
      <c r="I8" s="60"/>
    </row>
    <row r="9" spans="2:15" ht="15" customHeight="1">
      <c r="C9" s="26"/>
      <c r="I9" s="60"/>
    </row>
    <row r="10" spans="2:15" ht="15" customHeight="1">
      <c r="C10" s="26"/>
      <c r="G10" s="22" t="s">
        <v>5</v>
      </c>
      <c r="H10" s="26">
        <v>3</v>
      </c>
      <c r="I10" s="60"/>
      <c r="J10" s="111" t="str">
        <f>IF(ISBLANK(H6),"",IF(H6&gt;H14,F6,F14))</f>
        <v>Танчин</v>
      </c>
      <c r="K10" s="112"/>
      <c r="L10" s="62"/>
    </row>
    <row r="11" spans="2:15" ht="15" customHeight="1">
      <c r="C11" s="26"/>
      <c r="I11" s="60"/>
    </row>
    <row r="12" spans="2:15" ht="15" customHeight="1">
      <c r="B12" s="112" t="s">
        <v>116</v>
      </c>
      <c r="C12" s="113"/>
      <c r="D12" s="57">
        <v>8</v>
      </c>
      <c r="E12" s="58"/>
      <c r="I12" s="60"/>
    </row>
    <row r="13" spans="2:15" ht="15" customHeight="1">
      <c r="C13" s="26"/>
      <c r="E13" s="59"/>
      <c r="I13" s="60"/>
    </row>
    <row r="14" spans="2:15" ht="15" customHeight="1">
      <c r="B14" s="22" t="s">
        <v>5</v>
      </c>
      <c r="C14" s="26">
        <v>4</v>
      </c>
      <c r="E14" s="60"/>
      <c r="F14" s="111" t="str">
        <f>IF(ISBLANK(D12),"",IF(D12&gt;D16,B12,B16))</f>
        <v>Нечаев</v>
      </c>
      <c r="G14" s="113"/>
      <c r="H14" s="57">
        <v>9</v>
      </c>
      <c r="I14" s="61"/>
    </row>
    <row r="15" spans="2:15" ht="15" customHeight="1">
      <c r="E15" s="60"/>
    </row>
    <row r="16" spans="2:15" ht="15" customHeight="1">
      <c r="B16" s="112" t="s">
        <v>118</v>
      </c>
      <c r="C16" s="113"/>
      <c r="D16" s="57">
        <v>13</v>
      </c>
      <c r="E16" s="61"/>
    </row>
    <row r="20" spans="2:7" ht="15" customHeight="1">
      <c r="B20" s="112" t="str">
        <f>IF(ISBLANK(D4),"",IF(D4&gt;D8,B8,B4))</f>
        <v>Пищанский</v>
      </c>
      <c r="C20" s="113"/>
      <c r="D20" s="57">
        <v>13</v>
      </c>
      <c r="E20" s="58"/>
      <c r="F20" s="114"/>
      <c r="G20" s="114"/>
    </row>
    <row r="21" spans="2:7" ht="15" customHeight="1">
      <c r="E21" s="59"/>
    </row>
    <row r="22" spans="2:7" ht="15" customHeight="1">
      <c r="B22" s="22" t="s">
        <v>5</v>
      </c>
      <c r="C22" s="26">
        <v>11</v>
      </c>
      <c r="E22" s="60"/>
      <c r="F22" s="111" t="str">
        <f>IF(ISBLANK(D20),"",IF(D20&gt;D24,B20,B24))</f>
        <v>Пищанский</v>
      </c>
      <c r="G22" s="112"/>
    </row>
    <row r="23" spans="2:7" ht="15" customHeight="1">
      <c r="E23" s="60"/>
    </row>
    <row r="24" spans="2:7" ht="15" customHeight="1">
      <c r="B24" s="112" t="str">
        <f>IF(ISBLANK(D12),"",IF(D12&gt;D16,B16,B12))</f>
        <v>Зеленина</v>
      </c>
      <c r="C24" s="113"/>
      <c r="D24" s="57">
        <v>7</v>
      </c>
      <c r="E24" s="61"/>
    </row>
    <row r="28" spans="2:7" ht="15" customHeight="1">
      <c r="B28" s="29" t="s">
        <v>29</v>
      </c>
      <c r="C28" s="29"/>
      <c r="D28" s="29"/>
      <c r="E28" s="29"/>
    </row>
    <row r="29" spans="2:7" ht="15" customHeight="1">
      <c r="B29" s="29"/>
      <c r="C29" s="29"/>
      <c r="D29" s="29"/>
      <c r="E29" s="29"/>
    </row>
    <row r="30" spans="2:7" ht="15" customHeight="1">
      <c r="B30" s="29"/>
      <c r="C30" s="29"/>
      <c r="D30" s="29"/>
      <c r="E30" s="29"/>
    </row>
    <row r="31" spans="2:7" ht="15" customHeight="1">
      <c r="B31" s="29" t="s">
        <v>31</v>
      </c>
      <c r="C31" s="29"/>
      <c r="D31" s="29"/>
      <c r="E31" s="29"/>
    </row>
  </sheetData>
  <mergeCells count="12">
    <mergeCell ref="B16:C16"/>
    <mergeCell ref="B20:C20"/>
    <mergeCell ref="F20:G20"/>
    <mergeCell ref="F22:G22"/>
    <mergeCell ref="B1:K1"/>
    <mergeCell ref="B24:C24"/>
    <mergeCell ref="B4:C4"/>
    <mergeCell ref="F6:G6"/>
    <mergeCell ref="B8:C8"/>
    <mergeCell ref="J10:K10"/>
    <mergeCell ref="B12:C12"/>
    <mergeCell ref="F14:G1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workbookViewId="0">
      <selection activeCell="B28" sqref="B28:E31"/>
    </sheetView>
  </sheetViews>
  <sheetFormatPr defaultRowHeight="15" customHeight="1"/>
  <cols>
    <col min="1" max="1" width="9.140625" style="24"/>
    <col min="2" max="16384" width="9.140625" style="23"/>
  </cols>
  <sheetData>
    <row r="1" spans="2:15" ht="82.5" customHeight="1">
      <c r="B1" s="106" t="s">
        <v>124</v>
      </c>
      <c r="C1" s="106"/>
      <c r="D1" s="106"/>
      <c r="E1" s="106"/>
      <c r="F1" s="106"/>
      <c r="G1" s="106"/>
      <c r="H1" s="106"/>
      <c r="I1" s="106"/>
      <c r="J1" s="106"/>
      <c r="K1" s="106"/>
      <c r="L1" s="34"/>
      <c r="M1" s="34"/>
      <c r="N1" s="34"/>
      <c r="O1" s="34"/>
    </row>
    <row r="2" spans="2:15" ht="15" customHeight="1">
      <c r="C2" s="26"/>
    </row>
    <row r="3" spans="2:15" ht="15" customHeight="1">
      <c r="C3" s="26"/>
    </row>
    <row r="4" spans="2:15" ht="15" customHeight="1">
      <c r="B4" s="112" t="s">
        <v>119</v>
      </c>
      <c r="C4" s="113"/>
      <c r="D4" s="57">
        <v>13</v>
      </c>
      <c r="E4" s="58"/>
    </row>
    <row r="5" spans="2:15" ht="15" customHeight="1">
      <c r="C5" s="26"/>
      <c r="E5" s="59"/>
    </row>
    <row r="6" spans="2:15" ht="15" customHeight="1">
      <c r="B6" s="22" t="s">
        <v>5</v>
      </c>
      <c r="C6" s="26"/>
      <c r="E6" s="60"/>
      <c r="F6" s="111" t="str">
        <f>IF(ISBLANK(D4),"",IF(D4&gt;D8,B4,B8))</f>
        <v>Капран-Индаяти</v>
      </c>
      <c r="G6" s="113"/>
      <c r="H6" s="57">
        <v>13</v>
      </c>
      <c r="I6" s="58"/>
    </row>
    <row r="7" spans="2:15" ht="15" customHeight="1">
      <c r="C7" s="26"/>
      <c r="E7" s="60"/>
      <c r="I7" s="59"/>
    </row>
    <row r="8" spans="2:15" ht="15" customHeight="1">
      <c r="B8" s="146" t="s">
        <v>56</v>
      </c>
      <c r="C8" s="147"/>
      <c r="D8" s="57">
        <v>7</v>
      </c>
      <c r="E8" s="61"/>
      <c r="I8" s="60"/>
    </row>
    <row r="9" spans="2:15" ht="15" customHeight="1">
      <c r="C9" s="26"/>
      <c r="I9" s="60"/>
    </row>
    <row r="10" spans="2:15" ht="15" customHeight="1">
      <c r="C10" s="26"/>
      <c r="G10" s="22" t="s">
        <v>5</v>
      </c>
      <c r="H10" s="26">
        <v>3</v>
      </c>
      <c r="I10" s="60"/>
      <c r="J10" s="111" t="str">
        <f>IF(ISBLANK(H6),"",IF(H6&gt;H14,F6,F14))</f>
        <v>Капран-Индаяти</v>
      </c>
      <c r="K10" s="112"/>
      <c r="L10" s="62"/>
    </row>
    <row r="11" spans="2:15" ht="15" customHeight="1">
      <c r="C11" s="26"/>
      <c r="I11" s="60"/>
    </row>
    <row r="12" spans="2:15" ht="15" customHeight="1">
      <c r="B12" s="112" t="s">
        <v>120</v>
      </c>
      <c r="C12" s="113"/>
      <c r="D12" s="57">
        <v>13</v>
      </c>
      <c r="E12" s="58"/>
      <c r="I12" s="60"/>
    </row>
    <row r="13" spans="2:15" ht="15" customHeight="1">
      <c r="C13" s="26"/>
      <c r="E13" s="59"/>
      <c r="I13" s="60"/>
    </row>
    <row r="14" spans="2:15" ht="15" customHeight="1">
      <c r="B14" s="22" t="s">
        <v>5</v>
      </c>
      <c r="C14" s="26">
        <v>2</v>
      </c>
      <c r="E14" s="60"/>
      <c r="F14" s="111" t="str">
        <f>IF(ISBLANK(D12),"",IF(D12&gt;D16,B12,B16))</f>
        <v>Нечепуренко</v>
      </c>
      <c r="G14" s="113"/>
      <c r="H14" s="57">
        <v>6</v>
      </c>
      <c r="I14" s="61"/>
    </row>
    <row r="15" spans="2:15" ht="15" customHeight="1">
      <c r="E15" s="60"/>
    </row>
    <row r="16" spans="2:15" ht="15" customHeight="1">
      <c r="B16" s="112" t="s">
        <v>121</v>
      </c>
      <c r="C16" s="113"/>
      <c r="D16" s="57">
        <v>7</v>
      </c>
      <c r="E16" s="61"/>
    </row>
    <row r="20" spans="2:7" ht="15" customHeight="1">
      <c r="B20" s="112" t="str">
        <f>IF(ISBLANK(D4),"",IF(D4&gt;D8,B8,B4))</f>
        <v>-</v>
      </c>
      <c r="C20" s="113"/>
      <c r="D20" s="57">
        <v>7</v>
      </c>
      <c r="E20" s="58"/>
      <c r="F20" s="114"/>
      <c r="G20" s="114"/>
    </row>
    <row r="21" spans="2:7" ht="15" customHeight="1">
      <c r="E21" s="59"/>
    </row>
    <row r="22" spans="2:7" ht="15" customHeight="1">
      <c r="B22" s="22" t="s">
        <v>5</v>
      </c>
      <c r="C22" s="26"/>
      <c r="E22" s="60"/>
      <c r="F22" s="111" t="str">
        <f>IF(ISBLANK(D20),"",IF(D20&gt;D24,B20,B24))</f>
        <v>Гелдиев</v>
      </c>
      <c r="G22" s="112"/>
    </row>
    <row r="23" spans="2:7" ht="15" customHeight="1">
      <c r="E23" s="60"/>
    </row>
    <row r="24" spans="2:7" ht="15" customHeight="1">
      <c r="B24" s="112" t="str">
        <f>IF(ISBLANK(D12),"",IF(D12&gt;D16,B16,B12))</f>
        <v>Гелдиев</v>
      </c>
      <c r="C24" s="113"/>
      <c r="D24" s="57">
        <v>13</v>
      </c>
      <c r="E24" s="61"/>
    </row>
    <row r="28" spans="2:7" ht="15" customHeight="1">
      <c r="B28" s="29" t="s">
        <v>29</v>
      </c>
      <c r="C28" s="29"/>
      <c r="D28" s="29"/>
      <c r="E28" s="29"/>
    </row>
    <row r="29" spans="2:7" ht="15" customHeight="1">
      <c r="B29" s="29"/>
      <c r="C29" s="29"/>
      <c r="D29" s="29"/>
      <c r="E29" s="29"/>
    </row>
    <row r="30" spans="2:7" ht="15" customHeight="1">
      <c r="B30" s="29"/>
      <c r="C30" s="29"/>
      <c r="D30" s="29"/>
      <c r="E30" s="29"/>
    </row>
    <row r="31" spans="2:7" ht="15" customHeight="1">
      <c r="B31" s="29" t="s">
        <v>31</v>
      </c>
      <c r="C31" s="29"/>
      <c r="D31" s="29"/>
      <c r="E31" s="29"/>
    </row>
  </sheetData>
  <mergeCells count="12">
    <mergeCell ref="B16:C16"/>
    <mergeCell ref="B20:C20"/>
    <mergeCell ref="F20:G20"/>
    <mergeCell ref="F22:G22"/>
    <mergeCell ref="B1:K1"/>
    <mergeCell ref="B24:C24"/>
    <mergeCell ref="B4:C4"/>
    <mergeCell ref="F6:G6"/>
    <mergeCell ref="B8:C8"/>
    <mergeCell ref="J10:K10"/>
    <mergeCell ref="B12:C12"/>
    <mergeCell ref="F14:G1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43"/>
  <sheetViews>
    <sheetView tabSelected="1" topLeftCell="A2" zoomScaleNormal="100" workbookViewId="0">
      <selection activeCell="D37" sqref="D37"/>
    </sheetView>
  </sheetViews>
  <sheetFormatPr defaultRowHeight="15"/>
  <cols>
    <col min="2" max="2" width="23.140625" customWidth="1"/>
    <col min="3" max="3" width="22.42578125" customWidth="1"/>
    <col min="4" max="4" width="36.7109375" customWidth="1"/>
  </cols>
  <sheetData>
    <row r="1" spans="1:11" ht="45" customHeight="1">
      <c r="A1" s="115" t="s">
        <v>21</v>
      </c>
      <c r="B1" s="115"/>
      <c r="C1" s="115"/>
      <c r="D1" s="115"/>
      <c r="E1" s="35"/>
      <c r="F1" s="35"/>
      <c r="G1" s="35"/>
      <c r="H1" s="35"/>
      <c r="I1" s="35"/>
      <c r="J1" s="35"/>
      <c r="K1" s="35"/>
    </row>
    <row r="2" spans="1:11" ht="88.5" customHeight="1">
      <c r="A2" s="106" t="s">
        <v>129</v>
      </c>
      <c r="B2" s="106"/>
      <c r="C2" s="106"/>
      <c r="D2" s="106"/>
      <c r="E2" s="34"/>
      <c r="F2" s="34"/>
      <c r="G2" s="33"/>
      <c r="H2" s="33"/>
      <c r="I2" s="33"/>
      <c r="J2" s="33"/>
    </row>
    <row r="3" spans="1:11" ht="15.75" thickBot="1"/>
    <row r="4" spans="1:11" s="23" customFormat="1" ht="15" customHeight="1">
      <c r="A4" s="68" t="s">
        <v>22</v>
      </c>
      <c r="B4" s="69" t="s">
        <v>23</v>
      </c>
      <c r="C4" s="69" t="s">
        <v>24</v>
      </c>
      <c r="D4" s="70" t="s">
        <v>25</v>
      </c>
    </row>
    <row r="5" spans="1:11" s="23" customFormat="1" ht="15" customHeight="1">
      <c r="A5" s="71">
        <v>1</v>
      </c>
      <c r="B5" s="72" t="s">
        <v>13</v>
      </c>
      <c r="C5" s="72" t="s">
        <v>27</v>
      </c>
      <c r="D5" s="73">
        <v>20</v>
      </c>
    </row>
    <row r="6" spans="1:11" s="23" customFormat="1" ht="15" customHeight="1">
      <c r="A6" s="71">
        <v>1</v>
      </c>
      <c r="B6" s="72" t="s">
        <v>65</v>
      </c>
      <c r="C6" s="72" t="s">
        <v>27</v>
      </c>
      <c r="D6" s="73">
        <v>20</v>
      </c>
    </row>
    <row r="7" spans="1:11" s="23" customFormat="1" ht="15" customHeight="1">
      <c r="A7" s="71">
        <v>1</v>
      </c>
      <c r="B7" s="72" t="s">
        <v>59</v>
      </c>
      <c r="C7" s="72" t="s">
        <v>28</v>
      </c>
      <c r="D7" s="73">
        <v>20</v>
      </c>
    </row>
    <row r="8" spans="1:11" s="23" customFormat="1" ht="15" customHeight="1">
      <c r="A8" s="71">
        <v>2</v>
      </c>
      <c r="B8" s="72" t="s">
        <v>12</v>
      </c>
      <c r="C8" s="72" t="s">
        <v>27</v>
      </c>
      <c r="D8" s="73">
        <v>17</v>
      </c>
    </row>
    <row r="9" spans="1:11" s="23" customFormat="1" ht="15" customHeight="1">
      <c r="A9" s="71">
        <v>2</v>
      </c>
      <c r="B9" s="72" t="s">
        <v>63</v>
      </c>
      <c r="C9" s="72" t="s">
        <v>27</v>
      </c>
      <c r="D9" s="73">
        <v>17</v>
      </c>
    </row>
    <row r="10" spans="1:11" s="23" customFormat="1" ht="15" customHeight="1">
      <c r="A10" s="71">
        <v>2</v>
      </c>
      <c r="B10" s="72" t="s">
        <v>77</v>
      </c>
      <c r="C10" s="72" t="s">
        <v>27</v>
      </c>
      <c r="D10" s="73">
        <v>17</v>
      </c>
    </row>
    <row r="11" spans="1:11" s="23" customFormat="1" ht="15" customHeight="1">
      <c r="A11" s="71">
        <v>3</v>
      </c>
      <c r="B11" s="72" t="s">
        <v>79</v>
      </c>
      <c r="C11" s="72" t="s">
        <v>27</v>
      </c>
      <c r="D11" s="73">
        <v>15</v>
      </c>
    </row>
    <row r="12" spans="1:11" s="23" customFormat="1" ht="15" customHeight="1">
      <c r="A12" s="71">
        <v>3</v>
      </c>
      <c r="B12" s="72" t="s">
        <v>80</v>
      </c>
      <c r="C12" s="72" t="s">
        <v>27</v>
      </c>
      <c r="D12" s="73">
        <v>15</v>
      </c>
    </row>
    <row r="13" spans="1:11" s="23" customFormat="1" ht="15" customHeight="1">
      <c r="A13" s="71">
        <v>3</v>
      </c>
      <c r="B13" s="72" t="s">
        <v>130</v>
      </c>
      <c r="C13" s="72" t="s">
        <v>27</v>
      </c>
      <c r="D13" s="73">
        <v>15</v>
      </c>
    </row>
    <row r="14" spans="1:11" s="23" customFormat="1" ht="15" customHeight="1">
      <c r="A14" s="71">
        <v>4</v>
      </c>
      <c r="B14" s="72" t="s">
        <v>127</v>
      </c>
      <c r="C14" s="72" t="s">
        <v>27</v>
      </c>
      <c r="D14" s="73">
        <v>14</v>
      </c>
    </row>
    <row r="15" spans="1:11" s="23" customFormat="1" ht="15" customHeight="1">
      <c r="A15" s="71">
        <v>4</v>
      </c>
      <c r="B15" s="72" t="s">
        <v>66</v>
      </c>
      <c r="C15" s="72" t="s">
        <v>27</v>
      </c>
      <c r="D15" s="73">
        <v>14</v>
      </c>
    </row>
    <row r="16" spans="1:11" s="23" customFormat="1" ht="15" customHeight="1">
      <c r="A16" s="71">
        <v>4</v>
      </c>
      <c r="B16" s="72" t="s">
        <v>128</v>
      </c>
      <c r="C16" s="72" t="s">
        <v>27</v>
      </c>
      <c r="D16" s="73">
        <v>14</v>
      </c>
    </row>
    <row r="17" spans="1:7" s="23" customFormat="1" ht="15" customHeight="1">
      <c r="A17" s="71">
        <v>5</v>
      </c>
      <c r="B17" s="72" t="s">
        <v>125</v>
      </c>
      <c r="C17" s="72" t="s">
        <v>27</v>
      </c>
      <c r="D17" s="73">
        <v>13</v>
      </c>
    </row>
    <row r="18" spans="1:7" s="23" customFormat="1" ht="15" customHeight="1">
      <c r="A18" s="71">
        <v>5</v>
      </c>
      <c r="B18" s="72" t="s">
        <v>72</v>
      </c>
      <c r="C18" s="72" t="s">
        <v>27</v>
      </c>
      <c r="D18" s="73">
        <v>13</v>
      </c>
    </row>
    <row r="19" spans="1:7" s="23" customFormat="1" ht="15" customHeight="1">
      <c r="A19" s="71">
        <v>5</v>
      </c>
      <c r="B19" s="72" t="s">
        <v>14</v>
      </c>
      <c r="C19" s="72" t="s">
        <v>27</v>
      </c>
      <c r="D19" s="73">
        <v>13</v>
      </c>
      <c r="E19" s="74"/>
      <c r="F19" s="74"/>
      <c r="G19" s="75"/>
    </row>
    <row r="20" spans="1:7" s="23" customFormat="1" ht="15" customHeight="1">
      <c r="A20" s="71">
        <v>6</v>
      </c>
      <c r="B20" s="72" t="s">
        <v>11</v>
      </c>
      <c r="C20" s="72" t="s">
        <v>27</v>
      </c>
      <c r="D20" s="73">
        <v>12</v>
      </c>
      <c r="E20" s="74"/>
      <c r="F20" s="74"/>
      <c r="G20" s="75"/>
    </row>
    <row r="21" spans="1:7" s="23" customFormat="1" ht="15" customHeight="1">
      <c r="A21" s="71">
        <v>6</v>
      </c>
      <c r="B21" s="72" t="s">
        <v>18</v>
      </c>
      <c r="C21" s="72" t="s">
        <v>27</v>
      </c>
      <c r="D21" s="73">
        <v>12</v>
      </c>
      <c r="E21" s="74"/>
      <c r="F21" s="74"/>
      <c r="G21" s="75"/>
    </row>
    <row r="22" spans="1:7" s="23" customFormat="1" ht="15" customHeight="1">
      <c r="A22" s="71">
        <v>6</v>
      </c>
      <c r="B22" s="72" t="s">
        <v>15</v>
      </c>
      <c r="C22" s="72" t="s">
        <v>27</v>
      </c>
      <c r="D22" s="73">
        <v>12</v>
      </c>
      <c r="E22" s="74"/>
      <c r="F22" s="74"/>
      <c r="G22" s="75"/>
    </row>
    <row r="23" spans="1:7" s="23" customFormat="1" ht="15" customHeight="1">
      <c r="A23" s="71">
        <v>7</v>
      </c>
      <c r="B23" s="72" t="s">
        <v>131</v>
      </c>
      <c r="C23" s="72" t="s">
        <v>27</v>
      </c>
      <c r="D23" s="73">
        <v>11</v>
      </c>
      <c r="E23" s="74"/>
      <c r="F23" s="74"/>
      <c r="G23" s="75"/>
    </row>
    <row r="24" spans="1:7" s="23" customFormat="1" ht="15" customHeight="1">
      <c r="A24" s="71">
        <v>7</v>
      </c>
      <c r="B24" s="72" t="s">
        <v>16</v>
      </c>
      <c r="C24" s="72" t="s">
        <v>27</v>
      </c>
      <c r="D24" s="73">
        <v>11</v>
      </c>
      <c r="E24" s="74"/>
      <c r="F24" s="74"/>
      <c r="G24" s="75"/>
    </row>
    <row r="25" spans="1:7" s="23" customFormat="1" ht="15" customHeight="1">
      <c r="A25" s="71">
        <v>7</v>
      </c>
      <c r="B25" s="72" t="s">
        <v>61</v>
      </c>
      <c r="C25" s="72" t="s">
        <v>62</v>
      </c>
      <c r="D25" s="73">
        <v>11</v>
      </c>
      <c r="E25" s="74"/>
      <c r="F25" s="74"/>
      <c r="G25" s="75"/>
    </row>
    <row r="26" spans="1:7" s="23" customFormat="1" ht="15" customHeight="1">
      <c r="A26" s="71">
        <v>8</v>
      </c>
      <c r="B26" s="72" t="s">
        <v>132</v>
      </c>
      <c r="C26" s="72" t="s">
        <v>27</v>
      </c>
      <c r="D26" s="73">
        <v>10</v>
      </c>
    </row>
    <row r="27" spans="1:7" s="23" customFormat="1" ht="15" customHeight="1">
      <c r="A27" s="71">
        <v>8</v>
      </c>
      <c r="B27" s="72" t="s">
        <v>133</v>
      </c>
      <c r="C27" s="72" t="s">
        <v>27</v>
      </c>
      <c r="D27" s="73">
        <v>10</v>
      </c>
    </row>
    <row r="28" spans="1:7" s="23" customFormat="1" ht="15" customHeight="1">
      <c r="A28" s="71">
        <v>8</v>
      </c>
      <c r="B28" s="72" t="s">
        <v>134</v>
      </c>
      <c r="C28" s="72" t="s">
        <v>27</v>
      </c>
      <c r="D28" s="73">
        <v>10</v>
      </c>
    </row>
    <row r="29" spans="1:7">
      <c r="A29" s="71">
        <v>9</v>
      </c>
      <c r="B29" s="72" t="s">
        <v>10</v>
      </c>
      <c r="C29" s="72" t="s">
        <v>27</v>
      </c>
      <c r="D29" s="76">
        <v>9</v>
      </c>
    </row>
    <row r="30" spans="1:7">
      <c r="A30" s="71">
        <v>9</v>
      </c>
      <c r="B30" s="72" t="s">
        <v>85</v>
      </c>
      <c r="C30" s="72" t="s">
        <v>27</v>
      </c>
      <c r="D30" s="76">
        <v>9</v>
      </c>
    </row>
    <row r="31" spans="1:7">
      <c r="A31" s="71">
        <v>9</v>
      </c>
      <c r="B31" s="72" t="s">
        <v>32</v>
      </c>
      <c r="C31" s="72" t="s">
        <v>27</v>
      </c>
      <c r="D31" s="76">
        <v>9</v>
      </c>
    </row>
    <row r="32" spans="1:7">
      <c r="A32" s="71">
        <v>10</v>
      </c>
      <c r="B32" s="72" t="s">
        <v>135</v>
      </c>
      <c r="C32" s="72" t="s">
        <v>27</v>
      </c>
      <c r="D32" s="76">
        <v>8</v>
      </c>
    </row>
    <row r="33" spans="1:4">
      <c r="A33" s="71">
        <v>10</v>
      </c>
      <c r="B33" s="72" t="s">
        <v>136</v>
      </c>
      <c r="C33" s="72" t="s">
        <v>27</v>
      </c>
      <c r="D33" s="76">
        <v>8</v>
      </c>
    </row>
    <row r="34" spans="1:4">
      <c r="A34" s="71">
        <v>10</v>
      </c>
      <c r="B34" s="72" t="s">
        <v>137</v>
      </c>
      <c r="C34" s="72" t="s">
        <v>27</v>
      </c>
      <c r="D34" s="76">
        <v>8</v>
      </c>
    </row>
    <row r="35" spans="1:4">
      <c r="A35" s="71">
        <v>11</v>
      </c>
      <c r="B35" s="72" t="s">
        <v>67</v>
      </c>
      <c r="C35" s="72" t="s">
        <v>27</v>
      </c>
      <c r="D35" s="76">
        <v>7</v>
      </c>
    </row>
    <row r="36" spans="1:4">
      <c r="A36" s="71">
        <v>11</v>
      </c>
      <c r="B36" s="72" t="s">
        <v>126</v>
      </c>
      <c r="C36" s="72" t="s">
        <v>27</v>
      </c>
      <c r="D36" s="76">
        <v>7</v>
      </c>
    </row>
    <row r="37" spans="1:4" ht="15.75" thickBot="1">
      <c r="A37" s="77">
        <v>11</v>
      </c>
      <c r="B37" s="78" t="s">
        <v>68</v>
      </c>
      <c r="C37" s="78" t="s">
        <v>27</v>
      </c>
      <c r="D37" s="79">
        <v>7</v>
      </c>
    </row>
    <row r="40" spans="1:4" ht="21">
      <c r="A40" s="29" t="s">
        <v>29</v>
      </c>
      <c r="B40" s="29"/>
      <c r="C40" s="29"/>
      <c r="D40" s="29"/>
    </row>
    <row r="41" spans="1:4" ht="21">
      <c r="A41" s="29"/>
      <c r="B41" s="29"/>
      <c r="C41" s="29"/>
      <c r="D41" s="29"/>
    </row>
    <row r="42" spans="1:4" ht="21">
      <c r="A42" s="29"/>
      <c r="B42" s="29"/>
      <c r="C42" s="29"/>
      <c r="D42" s="29"/>
    </row>
    <row r="43" spans="1:4" ht="21">
      <c r="A43" s="29" t="s">
        <v>31</v>
      </c>
      <c r="B43" s="29"/>
      <c r="C43" s="29"/>
      <c r="D43" s="29"/>
    </row>
  </sheetData>
  <mergeCells count="2">
    <mergeCell ref="A1:D1"/>
    <mergeCell ref="A2:D2"/>
  </mergeCells>
  <phoneticPr fontId="15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2"/>
  <sheetViews>
    <sheetView topLeftCell="A31" workbookViewId="0">
      <selection activeCell="B39" sqref="B39:E42"/>
    </sheetView>
  </sheetViews>
  <sheetFormatPr defaultRowHeight="15"/>
  <cols>
    <col min="1" max="1" width="4" style="24" customWidth="1"/>
    <col min="2" max="2" width="10.28515625" customWidth="1"/>
    <col min="3" max="10" width="10.7109375" customWidth="1"/>
    <col min="11" max="12" width="10.28515625" customWidth="1"/>
    <col min="13" max="13" width="10.28515625" style="27" customWidth="1"/>
    <col min="14" max="15" width="10.28515625" customWidth="1"/>
  </cols>
  <sheetData>
    <row r="1" spans="2:13" ht="55.5" customHeight="1">
      <c r="B1" s="106" t="s">
        <v>96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2:13" ht="15.75" thickBot="1">
      <c r="M2"/>
    </row>
    <row r="3" spans="2:13" ht="30" customHeight="1" thickBot="1">
      <c r="B3" s="47"/>
      <c r="C3" s="86" t="s">
        <v>0</v>
      </c>
      <c r="D3" s="87"/>
      <c r="E3" s="88"/>
      <c r="F3" s="1">
        <v>1</v>
      </c>
      <c r="G3" s="1">
        <v>2</v>
      </c>
      <c r="H3" s="1">
        <v>3</v>
      </c>
      <c r="I3" s="2">
        <v>4</v>
      </c>
      <c r="J3" s="2">
        <v>5</v>
      </c>
      <c r="K3" s="47" t="s">
        <v>1</v>
      </c>
      <c r="L3" s="1" t="s">
        <v>2</v>
      </c>
      <c r="M3" s="3" t="s">
        <v>3</v>
      </c>
    </row>
    <row r="4" spans="2:13" ht="24" customHeight="1">
      <c r="B4" s="89">
        <v>1</v>
      </c>
      <c r="C4" s="91" t="s">
        <v>39</v>
      </c>
      <c r="D4" s="92"/>
      <c r="E4" s="93"/>
      <c r="F4" s="6" t="s">
        <v>33</v>
      </c>
      <c r="G4" s="7" t="str">
        <f ca="1">INDIRECT(ADDRESS(23,6))&amp;":"&amp;INDIRECT(ADDRESS(23,7))</f>
        <v>2:13</v>
      </c>
      <c r="H4" s="7" t="str">
        <f ca="1">INDIRECT(ADDRESS(26,7))&amp;":"&amp;INDIRECT(ADDRESS(26,6))</f>
        <v>3:13</v>
      </c>
      <c r="I4" s="7" t="str">
        <f ca="1">INDIRECT(ADDRESS(30,6))&amp;":"&amp;INDIRECT(ADDRESS(30,7))</f>
        <v>5:13</v>
      </c>
      <c r="J4" s="8" t="str">
        <f ca="1">INDIRECT(ADDRESS(35,7))&amp;":"&amp;INDIRECT(ADDRESS(35,6))</f>
        <v>6:12</v>
      </c>
      <c r="K4" s="97">
        <f ca="1">IF(COUNT(F5:J5)=0,"",COUNTIF(F5:J5,"&gt;0")+0.5*COUNTIF(F5:J5,0))</f>
        <v>0</v>
      </c>
      <c r="L4" s="9"/>
      <c r="M4" s="84">
        <v>5</v>
      </c>
    </row>
    <row r="5" spans="2:13" ht="24" customHeight="1">
      <c r="B5" s="90"/>
      <c r="C5" s="94"/>
      <c r="D5" s="95"/>
      <c r="E5" s="96"/>
      <c r="F5" s="10" t="s">
        <v>33</v>
      </c>
      <c r="G5" s="11">
        <f ca="1">IF(LEN(INDIRECT(ADDRESS(ROW()-1, COLUMN())))=1,"",INDIRECT(ADDRESS(23,6))-INDIRECT(ADDRESS(23,7)))</f>
        <v>-11</v>
      </c>
      <c r="H5" s="11">
        <f ca="1">IF(LEN(INDIRECT(ADDRESS(ROW()-1, COLUMN())))=1,"",INDIRECT(ADDRESS(26,7))-INDIRECT(ADDRESS(26,6)))</f>
        <v>-10</v>
      </c>
      <c r="I5" s="11">
        <f ca="1">IF(LEN(INDIRECT(ADDRESS(ROW()-1, COLUMN())))=1,"",INDIRECT(ADDRESS(30,6))-INDIRECT(ADDRESS(30,7)))</f>
        <v>-8</v>
      </c>
      <c r="J5" s="12">
        <f ca="1">IF(LEN(INDIRECT(ADDRESS(ROW()-1, COLUMN())))=1,"",INDIRECT(ADDRESS(35,7))-INDIRECT(ADDRESS(35,6)))</f>
        <v>-6</v>
      </c>
      <c r="K5" s="98"/>
      <c r="L5" s="11"/>
      <c r="M5" s="85"/>
    </row>
    <row r="6" spans="2:13" ht="24" customHeight="1">
      <c r="B6" s="101">
        <v>2</v>
      </c>
      <c r="C6" s="94" t="s">
        <v>40</v>
      </c>
      <c r="D6" s="95"/>
      <c r="E6" s="96"/>
      <c r="F6" s="13" t="str">
        <f ca="1">INDIRECT(ADDRESS(23,7))&amp;":"&amp;INDIRECT(ADDRESS(23,6))</f>
        <v>13:2</v>
      </c>
      <c r="G6" s="14" t="s">
        <v>33</v>
      </c>
      <c r="H6" s="15" t="str">
        <f ca="1">INDIRECT(ADDRESS(31,6))&amp;":"&amp;INDIRECT(ADDRESS(31,7))</f>
        <v>7:10</v>
      </c>
      <c r="I6" s="15" t="str">
        <f ca="1">INDIRECT(ADDRESS(34,7))&amp;":"&amp;INDIRECT(ADDRESS(34,6))</f>
        <v>13:3</v>
      </c>
      <c r="J6" s="16" t="str">
        <f ca="1">INDIRECT(ADDRESS(18,6))&amp;":"&amp;INDIRECT(ADDRESS(18,7))</f>
        <v>5:4</v>
      </c>
      <c r="K6" s="98">
        <f ca="1">IF(COUNT(F7:J7)=0,"",COUNTIF(F7:J7,"&gt;0")+0.5*COUNTIF(F7:J7,0))</f>
        <v>3</v>
      </c>
      <c r="L6" s="11"/>
      <c r="M6" s="85">
        <v>2</v>
      </c>
    </row>
    <row r="7" spans="2:13" ht="24" customHeight="1">
      <c r="B7" s="90"/>
      <c r="C7" s="94"/>
      <c r="D7" s="95"/>
      <c r="E7" s="96"/>
      <c r="F7" s="17">
        <f ca="1">IF(LEN(INDIRECT(ADDRESS(ROW()-1, COLUMN())))=1,"",INDIRECT(ADDRESS(23,7))-INDIRECT(ADDRESS(23,6)))</f>
        <v>11</v>
      </c>
      <c r="G7" s="18" t="s">
        <v>33</v>
      </c>
      <c r="H7" s="11">
        <f ca="1">IF(LEN(INDIRECT(ADDRESS(ROW()-1, COLUMN())))=1,"",INDIRECT(ADDRESS(31,6))-INDIRECT(ADDRESS(31,7)))</f>
        <v>-3</v>
      </c>
      <c r="I7" s="11">
        <f ca="1">IF(LEN(INDIRECT(ADDRESS(ROW()-1, COLUMN())))=1,"",INDIRECT(ADDRESS(34,7))-INDIRECT(ADDRESS(34,6)))</f>
        <v>10</v>
      </c>
      <c r="J7" s="12">
        <f ca="1">IF(LEN(INDIRECT(ADDRESS(ROW()-1, COLUMN())))=1,"",INDIRECT(ADDRESS(18,6))-INDIRECT(ADDRESS(18,7)))</f>
        <v>1</v>
      </c>
      <c r="K7" s="98"/>
      <c r="L7" s="11"/>
      <c r="M7" s="85"/>
    </row>
    <row r="8" spans="2:13" ht="24" customHeight="1">
      <c r="B8" s="101">
        <v>3</v>
      </c>
      <c r="C8" s="94" t="s">
        <v>41</v>
      </c>
      <c r="D8" s="95"/>
      <c r="E8" s="96"/>
      <c r="F8" s="13" t="str">
        <f ca="1">INDIRECT(ADDRESS(26,6))&amp;":"&amp;INDIRECT(ADDRESS(26,7))</f>
        <v>13:3</v>
      </c>
      <c r="G8" s="15" t="str">
        <f ca="1">INDIRECT(ADDRESS(31,7))&amp;":"&amp;INDIRECT(ADDRESS(31,6))</f>
        <v>10:7</v>
      </c>
      <c r="H8" s="14" t="s">
        <v>33</v>
      </c>
      <c r="I8" s="15" t="str">
        <f ca="1">INDIRECT(ADDRESS(19,6))&amp;":"&amp;INDIRECT(ADDRESS(19,7))</f>
        <v>10:6</v>
      </c>
      <c r="J8" s="16" t="str">
        <f ca="1">INDIRECT(ADDRESS(22,7))&amp;":"&amp;INDIRECT(ADDRESS(22,6))</f>
        <v>10:3</v>
      </c>
      <c r="K8" s="98">
        <f ca="1">IF(COUNT(F9:J9)=0,"",COUNTIF(F9:J9,"&gt;0")+0.5*COUNTIF(F9:J9,0))</f>
        <v>4</v>
      </c>
      <c r="L8" s="11"/>
      <c r="M8" s="85">
        <v>1</v>
      </c>
    </row>
    <row r="9" spans="2:13" ht="24" customHeight="1">
      <c r="B9" s="90"/>
      <c r="C9" s="94"/>
      <c r="D9" s="95"/>
      <c r="E9" s="96"/>
      <c r="F9" s="17">
        <f ca="1">IF(LEN(INDIRECT(ADDRESS(ROW()-1, COLUMN())))=1,"",INDIRECT(ADDRESS(26,6))-INDIRECT(ADDRESS(26,7)))</f>
        <v>10</v>
      </c>
      <c r="G9" s="11">
        <f ca="1">IF(LEN(INDIRECT(ADDRESS(ROW()-1, COLUMN())))=1,"",INDIRECT(ADDRESS(31,7))-INDIRECT(ADDRESS(31,6)))</f>
        <v>3</v>
      </c>
      <c r="H9" s="18" t="s">
        <v>33</v>
      </c>
      <c r="I9" s="11">
        <f ca="1">IF(LEN(INDIRECT(ADDRESS(ROW()-1, COLUMN())))=1,"",INDIRECT(ADDRESS(19,6))-INDIRECT(ADDRESS(19,7)))</f>
        <v>4</v>
      </c>
      <c r="J9" s="12">
        <f ca="1">IF(LEN(INDIRECT(ADDRESS(ROW()-1, COLUMN())))=1,"",INDIRECT(ADDRESS(22,7))-INDIRECT(ADDRESS(22,6)))</f>
        <v>7</v>
      </c>
      <c r="K9" s="98"/>
      <c r="L9" s="11"/>
      <c r="M9" s="85"/>
    </row>
    <row r="10" spans="2:13" ht="24" customHeight="1">
      <c r="B10" s="101">
        <v>4</v>
      </c>
      <c r="C10" s="94" t="s">
        <v>42</v>
      </c>
      <c r="D10" s="95"/>
      <c r="E10" s="96"/>
      <c r="F10" s="13" t="str">
        <f ca="1">INDIRECT(ADDRESS(30,7))&amp;":"&amp;INDIRECT(ADDRESS(30,6))</f>
        <v>13:5</v>
      </c>
      <c r="G10" s="15" t="str">
        <f ca="1">INDIRECT(ADDRESS(34,6))&amp;":"&amp;INDIRECT(ADDRESS(34,7))</f>
        <v>3:13</v>
      </c>
      <c r="H10" s="15" t="str">
        <f ca="1">INDIRECT(ADDRESS(19,7))&amp;":"&amp;INDIRECT(ADDRESS(19,6))</f>
        <v>6:10</v>
      </c>
      <c r="I10" s="14" t="s">
        <v>33</v>
      </c>
      <c r="J10" s="16" t="str">
        <f ca="1">INDIRECT(ADDRESS(27,6))&amp;":"&amp;INDIRECT(ADDRESS(27,7))</f>
        <v>13:6</v>
      </c>
      <c r="K10" s="98">
        <f ca="1">IF(COUNT(F11:J11)=0,"",COUNTIF(F11:J11,"&gt;0")+0.5*COUNTIF(F11:J11,0))</f>
        <v>2</v>
      </c>
      <c r="L10" s="11"/>
      <c r="M10" s="85">
        <v>3</v>
      </c>
    </row>
    <row r="11" spans="2:13" ht="24" customHeight="1">
      <c r="B11" s="90"/>
      <c r="C11" s="94"/>
      <c r="D11" s="95"/>
      <c r="E11" s="96"/>
      <c r="F11" s="17">
        <f ca="1">IF(LEN(INDIRECT(ADDRESS(ROW()-1, COLUMN())))=1,"",INDIRECT(ADDRESS(30,7))-INDIRECT(ADDRESS(30,6)))</f>
        <v>8</v>
      </c>
      <c r="G11" s="11">
        <f ca="1">IF(LEN(INDIRECT(ADDRESS(ROW()-1, COLUMN())))=1,"",INDIRECT(ADDRESS(34,6))-INDIRECT(ADDRESS(34,7)))</f>
        <v>-10</v>
      </c>
      <c r="H11" s="11">
        <f ca="1">IF(LEN(INDIRECT(ADDRESS(ROW()-1, COLUMN())))=1,"",INDIRECT(ADDRESS(19,7))-INDIRECT(ADDRESS(19,6)))</f>
        <v>-4</v>
      </c>
      <c r="I11" s="18" t="s">
        <v>33</v>
      </c>
      <c r="J11" s="12">
        <f ca="1">IF(LEN(INDIRECT(ADDRESS(ROW()-1, COLUMN())))=1,"",INDIRECT(ADDRESS(27,6))-INDIRECT(ADDRESS(27,7)))</f>
        <v>7</v>
      </c>
      <c r="K11" s="98"/>
      <c r="L11" s="11"/>
      <c r="M11" s="85"/>
    </row>
    <row r="12" spans="2:13" ht="24" customHeight="1">
      <c r="B12" s="101">
        <v>5</v>
      </c>
      <c r="C12" s="94" t="s">
        <v>43</v>
      </c>
      <c r="D12" s="95"/>
      <c r="E12" s="96"/>
      <c r="F12" s="13" t="str">
        <f ca="1">INDIRECT(ADDRESS(35,6))&amp;":"&amp;INDIRECT(ADDRESS(35,7))</f>
        <v>12:6</v>
      </c>
      <c r="G12" s="15" t="str">
        <f ca="1">INDIRECT(ADDRESS(18,7))&amp;":"&amp;INDIRECT(ADDRESS(18,6))</f>
        <v>4:5</v>
      </c>
      <c r="H12" s="15" t="str">
        <f ca="1">INDIRECT(ADDRESS(22,6))&amp;":"&amp;INDIRECT(ADDRESS(22,7))</f>
        <v>3:10</v>
      </c>
      <c r="I12" s="15" t="str">
        <f ca="1">INDIRECT(ADDRESS(27,7))&amp;":"&amp;INDIRECT(ADDRESS(27,6))</f>
        <v>6:13</v>
      </c>
      <c r="J12" s="25" t="s">
        <v>33</v>
      </c>
      <c r="K12" s="98">
        <f ca="1">IF(COUNT(F13:J13)=0,"",COUNTIF(F13:J13,"&gt;0")+0.5*COUNTIF(F13:J13,0))</f>
        <v>1</v>
      </c>
      <c r="L12" s="11"/>
      <c r="M12" s="85">
        <v>4</v>
      </c>
    </row>
    <row r="13" spans="2:13" ht="24" customHeight="1" thickBot="1">
      <c r="B13" s="107"/>
      <c r="C13" s="108"/>
      <c r="D13" s="109"/>
      <c r="E13" s="110"/>
      <c r="F13" s="19">
        <f ca="1">IF(LEN(INDIRECT(ADDRESS(ROW()-1, COLUMN())))=1,"",INDIRECT(ADDRESS(35,6))-INDIRECT(ADDRESS(35,7)))</f>
        <v>6</v>
      </c>
      <c r="G13" s="20">
        <f ca="1">IF(LEN(INDIRECT(ADDRESS(ROW()-1, COLUMN())))=1,"",INDIRECT(ADDRESS(18,7))-INDIRECT(ADDRESS(18,6)))</f>
        <v>-1</v>
      </c>
      <c r="H13" s="20">
        <f ca="1">IF(LEN(INDIRECT(ADDRESS(ROW()-1, COLUMN())))=1,"",INDIRECT(ADDRESS(22,6))-INDIRECT(ADDRESS(22,7)))</f>
        <v>-7</v>
      </c>
      <c r="I13" s="20">
        <f ca="1">IF(LEN(INDIRECT(ADDRESS(ROW()-1, COLUMN())))=1,"",INDIRECT(ADDRESS(27,7))-INDIRECT(ADDRESS(27,6)))</f>
        <v>-7</v>
      </c>
      <c r="J13" s="21" t="s">
        <v>33</v>
      </c>
      <c r="K13" s="99"/>
      <c r="L13" s="20"/>
      <c r="M13" s="100"/>
    </row>
    <row r="14" spans="2:13">
      <c r="M14"/>
    </row>
    <row r="15" spans="2:13">
      <c r="M15"/>
    </row>
    <row r="16" spans="2:13">
      <c r="M16"/>
    </row>
    <row r="17" spans="1:13" s="50" customFormat="1" ht="30" customHeight="1" thickBot="1">
      <c r="A17" s="49"/>
      <c r="B17" s="105" t="s">
        <v>4</v>
      </c>
      <c r="C17" s="105"/>
      <c r="D17" s="105"/>
      <c r="E17" s="105"/>
      <c r="F17" s="105"/>
      <c r="G17" s="105"/>
      <c r="H17" s="105"/>
      <c r="I17" s="105"/>
      <c r="J17" s="105"/>
      <c r="K17" s="105"/>
      <c r="M17" s="51"/>
    </row>
    <row r="18" spans="1:13" s="50" customFormat="1" ht="30" customHeight="1" thickBot="1">
      <c r="A18" s="49"/>
      <c r="B18" s="52">
        <v>2</v>
      </c>
      <c r="C18" s="102" t="str">
        <f ca="1">IF(ISBLANK(INDIRECT(ADDRESS(B18*2+2,3))),"",INDIRECT(ADDRESS(B18*2+2,3)))</f>
        <v>Анухин - Лукина</v>
      </c>
      <c r="D18" s="102"/>
      <c r="E18" s="103"/>
      <c r="F18" s="53">
        <v>5</v>
      </c>
      <c r="G18" s="54">
        <v>4</v>
      </c>
      <c r="H18" s="104" t="str">
        <f ca="1">IF(ISBLANK(INDIRECT(ADDRESS(K18*2+2,3))),"",INDIRECT(ADDRESS(K18*2+2,3)))</f>
        <v>Шардаков - Власова</v>
      </c>
      <c r="I18" s="102"/>
      <c r="J18" s="102"/>
      <c r="K18" s="52">
        <v>5</v>
      </c>
      <c r="L18" s="55" t="s">
        <v>5</v>
      </c>
      <c r="M18" s="48">
        <v>3</v>
      </c>
    </row>
    <row r="19" spans="1:13" s="50" customFormat="1" ht="30" customHeight="1" thickBot="1">
      <c r="A19" s="49"/>
      <c r="B19" s="52">
        <v>3</v>
      </c>
      <c r="C19" s="102" t="str">
        <f ca="1">IF(ISBLANK(INDIRECT(ADDRESS(B19*2+2,3))),"",INDIRECT(ADDRESS(B19*2+2,3)))</f>
        <v>Шустваль - Дегтярёва Л.</v>
      </c>
      <c r="D19" s="102"/>
      <c r="E19" s="103"/>
      <c r="F19" s="53">
        <v>10</v>
      </c>
      <c r="G19" s="54">
        <v>6</v>
      </c>
      <c r="H19" s="104" t="str">
        <f ca="1">IF(ISBLANK(INDIRECT(ADDRESS(K19*2+2,3))),"",INDIRECT(ADDRESS(K19*2+2,3)))</f>
        <v xml:space="preserve">Помазан Г. - Помазан Л. </v>
      </c>
      <c r="I19" s="102"/>
      <c r="J19" s="102"/>
      <c r="K19" s="52">
        <v>4</v>
      </c>
      <c r="L19" s="55" t="s">
        <v>5</v>
      </c>
      <c r="M19" s="48">
        <v>4</v>
      </c>
    </row>
    <row r="20" spans="1:13" s="50" customFormat="1" ht="30" customHeight="1">
      <c r="A20" s="49"/>
      <c r="M20" s="56"/>
    </row>
    <row r="21" spans="1:13" s="50" customFormat="1" ht="30" customHeight="1" thickBot="1">
      <c r="A21" s="49"/>
      <c r="B21" s="105" t="s">
        <v>6</v>
      </c>
      <c r="C21" s="105"/>
      <c r="D21" s="105"/>
      <c r="E21" s="105"/>
      <c r="F21" s="105"/>
      <c r="G21" s="105"/>
      <c r="H21" s="105"/>
      <c r="I21" s="105"/>
      <c r="J21" s="105"/>
      <c r="K21" s="105"/>
      <c r="M21" s="56"/>
    </row>
    <row r="22" spans="1:13" s="50" customFormat="1" ht="30" customHeight="1" thickBot="1">
      <c r="A22" s="49"/>
      <c r="B22" s="52">
        <v>5</v>
      </c>
      <c r="C22" s="102" t="str">
        <f ca="1">IF(ISBLANK(INDIRECT(ADDRESS(B22*2+2,3))),"",INDIRECT(ADDRESS(B22*2+2,3)))</f>
        <v>Шардаков - Власова</v>
      </c>
      <c r="D22" s="102"/>
      <c r="E22" s="103"/>
      <c r="F22" s="53">
        <v>3</v>
      </c>
      <c r="G22" s="54">
        <v>10</v>
      </c>
      <c r="H22" s="104" t="str">
        <f ca="1">IF(ISBLANK(INDIRECT(ADDRESS(K22*2+2,3))),"",INDIRECT(ADDRESS(K22*2+2,3)))</f>
        <v>Шустваль - Дегтярёва Л.</v>
      </c>
      <c r="I22" s="102"/>
      <c r="J22" s="102"/>
      <c r="K22" s="52">
        <v>3</v>
      </c>
      <c r="L22" s="55" t="s">
        <v>5</v>
      </c>
      <c r="M22" s="48">
        <v>5</v>
      </c>
    </row>
    <row r="23" spans="1:13" s="50" customFormat="1" ht="30" customHeight="1" thickBot="1">
      <c r="A23" s="49"/>
      <c r="B23" s="52">
        <v>1</v>
      </c>
      <c r="C23" s="102" t="str">
        <f ca="1">IF(ISBLANK(INDIRECT(ADDRESS(B23*2+2,3))),"",INDIRECT(ADDRESS(B23*2+2,3)))</f>
        <v>Багдасарян - Заленская</v>
      </c>
      <c r="D23" s="102"/>
      <c r="E23" s="103"/>
      <c r="F23" s="53">
        <v>2</v>
      </c>
      <c r="G23" s="54">
        <v>13</v>
      </c>
      <c r="H23" s="104" t="str">
        <f ca="1">IF(ISBLANK(INDIRECT(ADDRESS(K23*2+2,3))),"",INDIRECT(ADDRESS(K23*2+2,3)))</f>
        <v>Анухин - Лукина</v>
      </c>
      <c r="I23" s="102"/>
      <c r="J23" s="102"/>
      <c r="K23" s="52">
        <v>2</v>
      </c>
      <c r="L23" s="55" t="s">
        <v>5</v>
      </c>
      <c r="M23" s="48">
        <v>6</v>
      </c>
    </row>
    <row r="24" spans="1:13" s="50" customFormat="1" ht="30" customHeight="1">
      <c r="A24" s="49"/>
      <c r="M24" s="56"/>
    </row>
    <row r="25" spans="1:13" s="50" customFormat="1" ht="30" customHeight="1" thickBot="1">
      <c r="A25" s="49"/>
      <c r="B25" s="105" t="s">
        <v>7</v>
      </c>
      <c r="C25" s="105"/>
      <c r="D25" s="105"/>
      <c r="E25" s="105"/>
      <c r="F25" s="105"/>
      <c r="G25" s="105"/>
      <c r="H25" s="105"/>
      <c r="I25" s="105"/>
      <c r="J25" s="105"/>
      <c r="K25" s="105"/>
      <c r="M25" s="56"/>
    </row>
    <row r="26" spans="1:13" s="50" customFormat="1" ht="30" customHeight="1" thickBot="1">
      <c r="A26" s="49"/>
      <c r="B26" s="52">
        <v>3</v>
      </c>
      <c r="C26" s="102" t="str">
        <f ca="1">IF(ISBLANK(INDIRECT(ADDRESS(B26*2+2,3))),"",INDIRECT(ADDRESS(B26*2+2,3)))</f>
        <v>Шустваль - Дегтярёва Л.</v>
      </c>
      <c r="D26" s="102"/>
      <c r="E26" s="103"/>
      <c r="F26" s="53">
        <v>13</v>
      </c>
      <c r="G26" s="54">
        <v>3</v>
      </c>
      <c r="H26" s="104" t="str">
        <f ca="1">IF(ISBLANK(INDIRECT(ADDRESS(K26*2+2,3))),"",INDIRECT(ADDRESS(K26*2+2,3)))</f>
        <v>Багдасарян - Заленская</v>
      </c>
      <c r="I26" s="102"/>
      <c r="J26" s="102"/>
      <c r="K26" s="52">
        <v>1</v>
      </c>
      <c r="L26" s="55" t="s">
        <v>5</v>
      </c>
      <c r="M26" s="48">
        <v>9</v>
      </c>
    </row>
    <row r="27" spans="1:13" s="50" customFormat="1" ht="30" customHeight="1" thickBot="1">
      <c r="A27" s="49"/>
      <c r="B27" s="52">
        <v>4</v>
      </c>
      <c r="C27" s="102" t="str">
        <f ca="1">IF(ISBLANK(INDIRECT(ADDRESS(B27*2+2,3))),"",INDIRECT(ADDRESS(B27*2+2,3)))</f>
        <v xml:space="preserve">Помазан Г. - Помазан Л. </v>
      </c>
      <c r="D27" s="102"/>
      <c r="E27" s="103"/>
      <c r="F27" s="53">
        <v>13</v>
      </c>
      <c r="G27" s="54">
        <v>6</v>
      </c>
      <c r="H27" s="104" t="str">
        <f ca="1">IF(ISBLANK(INDIRECT(ADDRESS(K27*2+2,3))),"",INDIRECT(ADDRESS(K27*2+2,3)))</f>
        <v>Шардаков - Власова</v>
      </c>
      <c r="I27" s="102"/>
      <c r="J27" s="102"/>
      <c r="K27" s="52">
        <v>5</v>
      </c>
      <c r="L27" s="55" t="s">
        <v>5</v>
      </c>
      <c r="M27" s="48">
        <v>11</v>
      </c>
    </row>
    <row r="28" spans="1:13" s="50" customFormat="1" ht="30" customHeight="1">
      <c r="A28" s="49"/>
      <c r="M28" s="56"/>
    </row>
    <row r="29" spans="1:13" s="50" customFormat="1" ht="30" customHeight="1" thickBot="1">
      <c r="A29" s="49"/>
      <c r="B29" s="105" t="s">
        <v>8</v>
      </c>
      <c r="C29" s="105"/>
      <c r="D29" s="105"/>
      <c r="E29" s="105"/>
      <c r="F29" s="105"/>
      <c r="G29" s="105"/>
      <c r="H29" s="105"/>
      <c r="I29" s="105"/>
      <c r="J29" s="105"/>
      <c r="K29" s="105"/>
      <c r="M29" s="56"/>
    </row>
    <row r="30" spans="1:13" s="50" customFormat="1" ht="30" customHeight="1" thickBot="1">
      <c r="A30" s="49"/>
      <c r="B30" s="52">
        <v>1</v>
      </c>
      <c r="C30" s="102" t="str">
        <f ca="1">IF(ISBLANK(INDIRECT(ADDRESS(B30*2+2,3))),"",INDIRECT(ADDRESS(B30*2+2,3)))</f>
        <v>Багдасарян - Заленская</v>
      </c>
      <c r="D30" s="102"/>
      <c r="E30" s="103"/>
      <c r="F30" s="53">
        <v>5</v>
      </c>
      <c r="G30" s="54">
        <v>13</v>
      </c>
      <c r="H30" s="104" t="str">
        <f ca="1">IF(ISBLANK(INDIRECT(ADDRESS(K30*2+2,3))),"",INDIRECT(ADDRESS(K30*2+2,3)))</f>
        <v xml:space="preserve">Помазан Г. - Помазан Л. </v>
      </c>
      <c r="I30" s="102"/>
      <c r="J30" s="102"/>
      <c r="K30" s="52">
        <v>4</v>
      </c>
      <c r="L30" s="55" t="s">
        <v>5</v>
      </c>
      <c r="M30" s="48">
        <v>2</v>
      </c>
    </row>
    <row r="31" spans="1:13" s="50" customFormat="1" ht="30" customHeight="1" thickBot="1">
      <c r="A31" s="49"/>
      <c r="B31" s="52">
        <v>2</v>
      </c>
      <c r="C31" s="102" t="str">
        <f ca="1">IF(ISBLANK(INDIRECT(ADDRESS(B31*2+2,3))),"",INDIRECT(ADDRESS(B31*2+2,3)))</f>
        <v>Анухин - Лукина</v>
      </c>
      <c r="D31" s="102"/>
      <c r="E31" s="103"/>
      <c r="F31" s="53">
        <v>7</v>
      </c>
      <c r="G31" s="54">
        <v>10</v>
      </c>
      <c r="H31" s="104" t="str">
        <f ca="1">IF(ISBLANK(INDIRECT(ADDRESS(K31*2+2,3))),"",INDIRECT(ADDRESS(K31*2+2,3)))</f>
        <v>Шустваль - Дегтярёва Л.</v>
      </c>
      <c r="I31" s="102"/>
      <c r="J31" s="102"/>
      <c r="K31" s="52">
        <v>3</v>
      </c>
      <c r="L31" s="55" t="s">
        <v>5</v>
      </c>
      <c r="M31" s="48">
        <v>4</v>
      </c>
    </row>
    <row r="32" spans="1:13" s="50" customFormat="1" ht="30" customHeight="1">
      <c r="A32" s="49"/>
      <c r="M32" s="56"/>
    </row>
    <row r="33" spans="1:13" s="50" customFormat="1" ht="30" customHeight="1" thickBot="1">
      <c r="A33" s="49"/>
      <c r="B33" s="105" t="s">
        <v>9</v>
      </c>
      <c r="C33" s="105"/>
      <c r="D33" s="105"/>
      <c r="E33" s="105"/>
      <c r="F33" s="105"/>
      <c r="G33" s="105"/>
      <c r="H33" s="105"/>
      <c r="I33" s="105"/>
      <c r="J33" s="105"/>
      <c r="K33" s="105"/>
      <c r="M33" s="56"/>
    </row>
    <row r="34" spans="1:13" s="50" customFormat="1" ht="30" customHeight="1" thickBot="1">
      <c r="A34" s="49"/>
      <c r="B34" s="52">
        <v>4</v>
      </c>
      <c r="C34" s="102" t="str">
        <f ca="1">IF(ISBLANK(INDIRECT(ADDRESS(B34*2+2,3))),"",INDIRECT(ADDRESS(B34*2+2,3)))</f>
        <v xml:space="preserve">Помазан Г. - Помазан Л. </v>
      </c>
      <c r="D34" s="102"/>
      <c r="E34" s="103"/>
      <c r="F34" s="53">
        <v>3</v>
      </c>
      <c r="G34" s="54">
        <v>13</v>
      </c>
      <c r="H34" s="104" t="str">
        <f ca="1">IF(ISBLANK(INDIRECT(ADDRESS(K34*2+2,3))),"",INDIRECT(ADDRESS(K34*2+2,3)))</f>
        <v>Анухин - Лукина</v>
      </c>
      <c r="I34" s="102"/>
      <c r="J34" s="102"/>
      <c r="K34" s="52">
        <v>2</v>
      </c>
      <c r="L34" s="55" t="s">
        <v>5</v>
      </c>
      <c r="M34" s="48">
        <v>7</v>
      </c>
    </row>
    <row r="35" spans="1:13" s="50" customFormat="1" ht="30" customHeight="1" thickBot="1">
      <c r="A35" s="49"/>
      <c r="B35" s="52">
        <v>5</v>
      </c>
      <c r="C35" s="102" t="str">
        <f ca="1">IF(ISBLANK(INDIRECT(ADDRESS(B35*2+2,3))),"",INDIRECT(ADDRESS(B35*2+2,3)))</f>
        <v>Шардаков - Власова</v>
      </c>
      <c r="D35" s="102"/>
      <c r="E35" s="103"/>
      <c r="F35" s="53">
        <v>12</v>
      </c>
      <c r="G35" s="54">
        <v>6</v>
      </c>
      <c r="H35" s="104" t="str">
        <f ca="1">IF(ISBLANK(INDIRECT(ADDRESS(K35*2+2,3))),"",INDIRECT(ADDRESS(K35*2+2,3)))</f>
        <v>Багдасарян - Заленская</v>
      </c>
      <c r="I35" s="102"/>
      <c r="J35" s="102"/>
      <c r="K35" s="52">
        <v>1</v>
      </c>
      <c r="L35" s="55" t="s">
        <v>5</v>
      </c>
      <c r="M35" s="48">
        <v>5</v>
      </c>
    </row>
    <row r="39" spans="1:13" ht="21">
      <c r="B39" s="29" t="s">
        <v>29</v>
      </c>
      <c r="C39" s="29"/>
      <c r="D39" s="29"/>
      <c r="E39" s="29"/>
    </row>
    <row r="40" spans="1:13" ht="21">
      <c r="B40" s="29"/>
      <c r="C40" s="29"/>
      <c r="D40" s="29"/>
      <c r="E40" s="29"/>
    </row>
    <row r="41" spans="1:13" ht="21">
      <c r="B41" s="29"/>
      <c r="C41" s="29"/>
      <c r="D41" s="29"/>
      <c r="E41" s="29"/>
    </row>
    <row r="42" spans="1:13" ht="21">
      <c r="B42" s="29" t="s">
        <v>31</v>
      </c>
      <c r="C42" s="29"/>
      <c r="D42" s="29"/>
      <c r="E42" s="29"/>
    </row>
  </sheetData>
  <sheetCalcPr fullCalcOnLoad="1"/>
  <mergeCells count="47">
    <mergeCell ref="B33:K33"/>
    <mergeCell ref="C34:E34"/>
    <mergeCell ref="H34:J34"/>
    <mergeCell ref="C35:E35"/>
    <mergeCell ref="H35:J35"/>
    <mergeCell ref="B1:M1"/>
    <mergeCell ref="C27:E27"/>
    <mergeCell ref="H27:J27"/>
    <mergeCell ref="B29:K29"/>
    <mergeCell ref="B10:B11"/>
    <mergeCell ref="C10:E11"/>
    <mergeCell ref="K10:K11"/>
    <mergeCell ref="M10:M11"/>
    <mergeCell ref="B12:B13"/>
    <mergeCell ref="C12:E13"/>
    <mergeCell ref="B17:K17"/>
    <mergeCell ref="C18:E18"/>
    <mergeCell ref="H18:J18"/>
    <mergeCell ref="C19:E19"/>
    <mergeCell ref="H19:J19"/>
    <mergeCell ref="B21:K21"/>
    <mergeCell ref="H23:J23"/>
    <mergeCell ref="B25:K25"/>
    <mergeCell ref="C26:E26"/>
    <mergeCell ref="H26:J26"/>
    <mergeCell ref="C30:E30"/>
    <mergeCell ref="H30:J30"/>
    <mergeCell ref="M6:M7"/>
    <mergeCell ref="B8:B9"/>
    <mergeCell ref="C8:E9"/>
    <mergeCell ref="K8:K9"/>
    <mergeCell ref="M8:M9"/>
    <mergeCell ref="C31:E31"/>
    <mergeCell ref="H31:J31"/>
    <mergeCell ref="C22:E22"/>
    <mergeCell ref="H22:J22"/>
    <mergeCell ref="C23:E23"/>
    <mergeCell ref="M4:M5"/>
    <mergeCell ref="C3:E3"/>
    <mergeCell ref="B4:B5"/>
    <mergeCell ref="C4:E5"/>
    <mergeCell ref="K4:K5"/>
    <mergeCell ref="K12:K13"/>
    <mergeCell ref="M12:M13"/>
    <mergeCell ref="B6:B7"/>
    <mergeCell ref="C6:E7"/>
    <mergeCell ref="K6:K7"/>
  </mergeCells>
  <phoneticPr fontId="15" type="noConversion"/>
  <printOptions horizontalCentered="1"/>
  <pageMargins left="0.25" right="0.25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2"/>
  <sheetViews>
    <sheetView topLeftCell="A31" workbookViewId="0">
      <selection activeCell="B39" sqref="B39:E42"/>
    </sheetView>
  </sheetViews>
  <sheetFormatPr defaultRowHeight="15"/>
  <cols>
    <col min="1" max="1" width="4" style="24" customWidth="1"/>
    <col min="2" max="2" width="10.28515625" customWidth="1"/>
    <col min="3" max="10" width="11" customWidth="1"/>
    <col min="11" max="12" width="10.28515625" customWidth="1"/>
    <col min="13" max="13" width="10.28515625" style="27" customWidth="1"/>
    <col min="14" max="15" width="10.28515625" customWidth="1"/>
  </cols>
  <sheetData>
    <row r="1" spans="2:13" ht="50.25" customHeight="1">
      <c r="B1" s="106" t="s">
        <v>97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2:13" ht="26.25" thickBot="1"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2:13" ht="30" customHeight="1" thickBot="1">
      <c r="B3" s="47"/>
      <c r="C3" s="86" t="s">
        <v>0</v>
      </c>
      <c r="D3" s="87"/>
      <c r="E3" s="88"/>
      <c r="F3" s="1">
        <v>1</v>
      </c>
      <c r="G3" s="1">
        <v>2</v>
      </c>
      <c r="H3" s="1">
        <v>3</v>
      </c>
      <c r="I3" s="2">
        <v>4</v>
      </c>
      <c r="J3" s="2">
        <v>5</v>
      </c>
      <c r="K3" s="47" t="s">
        <v>1</v>
      </c>
      <c r="L3" s="1" t="s">
        <v>2</v>
      </c>
      <c r="M3" s="3" t="s">
        <v>3</v>
      </c>
    </row>
    <row r="4" spans="2:13" ht="24" customHeight="1">
      <c r="B4" s="89">
        <v>1</v>
      </c>
      <c r="C4" s="91" t="s">
        <v>44</v>
      </c>
      <c r="D4" s="92"/>
      <c r="E4" s="93"/>
      <c r="F4" s="6" t="s">
        <v>33</v>
      </c>
      <c r="G4" s="7" t="str">
        <f ca="1">INDIRECT(ADDRESS(23,6))&amp;":"&amp;INDIRECT(ADDRESS(23,7))</f>
        <v>6:7</v>
      </c>
      <c r="H4" s="7" t="str">
        <f ca="1">INDIRECT(ADDRESS(26,7))&amp;":"&amp;INDIRECT(ADDRESS(26,6))</f>
        <v>9:7</v>
      </c>
      <c r="I4" s="7" t="str">
        <f ca="1">INDIRECT(ADDRESS(30,6))&amp;":"&amp;INDIRECT(ADDRESS(30,7))</f>
        <v>2:10</v>
      </c>
      <c r="J4" s="8" t="str">
        <f ca="1">INDIRECT(ADDRESS(35,7))&amp;":"&amp;INDIRECT(ADDRESS(35,6))</f>
        <v>13:7</v>
      </c>
      <c r="K4" s="97">
        <f ca="1">IF(COUNT(F5:J5)=0,"",COUNTIF(F5:J5,"&gt;0")+0.5*COUNTIF(F5:J5,0))</f>
        <v>2</v>
      </c>
      <c r="L4" s="9"/>
      <c r="M4" s="84">
        <v>3</v>
      </c>
    </row>
    <row r="5" spans="2:13" ht="24" customHeight="1">
      <c r="B5" s="90"/>
      <c r="C5" s="94"/>
      <c r="D5" s="95"/>
      <c r="E5" s="96"/>
      <c r="F5" s="10" t="s">
        <v>33</v>
      </c>
      <c r="G5" s="11">
        <f ca="1">IF(LEN(INDIRECT(ADDRESS(ROW()-1, COLUMN())))=1,"",INDIRECT(ADDRESS(23,6))-INDIRECT(ADDRESS(23,7)))</f>
        <v>-1</v>
      </c>
      <c r="H5" s="11">
        <f ca="1">IF(LEN(INDIRECT(ADDRESS(ROW()-1, COLUMN())))=1,"",INDIRECT(ADDRESS(26,7))-INDIRECT(ADDRESS(26,6)))</f>
        <v>2</v>
      </c>
      <c r="I5" s="11">
        <f ca="1">IF(LEN(INDIRECT(ADDRESS(ROW()-1, COLUMN())))=1,"",INDIRECT(ADDRESS(30,6))-INDIRECT(ADDRESS(30,7)))</f>
        <v>-8</v>
      </c>
      <c r="J5" s="12">
        <f ca="1">IF(LEN(INDIRECT(ADDRESS(ROW()-1, COLUMN())))=1,"",INDIRECT(ADDRESS(35,7))-INDIRECT(ADDRESS(35,6)))</f>
        <v>6</v>
      </c>
      <c r="K5" s="98"/>
      <c r="L5" s="11"/>
      <c r="M5" s="85"/>
    </row>
    <row r="6" spans="2:13" ht="24" customHeight="1">
      <c r="B6" s="101">
        <v>2</v>
      </c>
      <c r="C6" s="94" t="s">
        <v>45</v>
      </c>
      <c r="D6" s="95"/>
      <c r="E6" s="96"/>
      <c r="F6" s="13" t="str">
        <f ca="1">INDIRECT(ADDRESS(23,7))&amp;":"&amp;INDIRECT(ADDRESS(23,6))</f>
        <v>7:6</v>
      </c>
      <c r="G6" s="14" t="s">
        <v>33</v>
      </c>
      <c r="H6" s="15" t="str">
        <f ca="1">INDIRECT(ADDRESS(31,6))&amp;":"&amp;INDIRECT(ADDRESS(31,7))</f>
        <v>13:2</v>
      </c>
      <c r="I6" s="15" t="str">
        <f ca="1">INDIRECT(ADDRESS(34,7))&amp;":"&amp;INDIRECT(ADDRESS(34,6))</f>
        <v>5:7</v>
      </c>
      <c r="J6" s="16" t="str">
        <f ca="1">INDIRECT(ADDRESS(18,6))&amp;":"&amp;INDIRECT(ADDRESS(18,7))</f>
        <v>9:4</v>
      </c>
      <c r="K6" s="98">
        <f ca="1">IF(COUNT(F7:J7)=0,"",COUNTIF(F7:J7,"&gt;0")+0.5*COUNTIF(F7:J7,0))</f>
        <v>3</v>
      </c>
      <c r="L6" s="11"/>
      <c r="M6" s="85">
        <v>2</v>
      </c>
    </row>
    <row r="7" spans="2:13" ht="24" customHeight="1">
      <c r="B7" s="90"/>
      <c r="C7" s="94"/>
      <c r="D7" s="95"/>
      <c r="E7" s="96"/>
      <c r="F7" s="17">
        <f ca="1">IF(LEN(INDIRECT(ADDRESS(ROW()-1, COLUMN())))=1,"",INDIRECT(ADDRESS(23,7))-INDIRECT(ADDRESS(23,6)))</f>
        <v>1</v>
      </c>
      <c r="G7" s="18" t="s">
        <v>33</v>
      </c>
      <c r="H7" s="11">
        <f ca="1">IF(LEN(INDIRECT(ADDRESS(ROW()-1, COLUMN())))=1,"",INDIRECT(ADDRESS(31,6))-INDIRECT(ADDRESS(31,7)))</f>
        <v>11</v>
      </c>
      <c r="I7" s="11">
        <f ca="1">IF(LEN(INDIRECT(ADDRESS(ROW()-1, COLUMN())))=1,"",INDIRECT(ADDRESS(34,7))-INDIRECT(ADDRESS(34,6)))</f>
        <v>-2</v>
      </c>
      <c r="J7" s="12">
        <f ca="1">IF(LEN(INDIRECT(ADDRESS(ROW()-1, COLUMN())))=1,"",INDIRECT(ADDRESS(18,6))-INDIRECT(ADDRESS(18,7)))</f>
        <v>5</v>
      </c>
      <c r="K7" s="98"/>
      <c r="L7" s="11"/>
      <c r="M7" s="85"/>
    </row>
    <row r="8" spans="2:13" ht="24" customHeight="1">
      <c r="B8" s="101">
        <v>3</v>
      </c>
      <c r="C8" s="94" t="s">
        <v>46</v>
      </c>
      <c r="D8" s="95"/>
      <c r="E8" s="96"/>
      <c r="F8" s="13" t="str">
        <f ca="1">INDIRECT(ADDRESS(26,6))&amp;":"&amp;INDIRECT(ADDRESS(26,7))</f>
        <v>7:9</v>
      </c>
      <c r="G8" s="15" t="str">
        <f ca="1">INDIRECT(ADDRESS(31,7))&amp;":"&amp;INDIRECT(ADDRESS(31,6))</f>
        <v>2:13</v>
      </c>
      <c r="H8" s="14" t="s">
        <v>33</v>
      </c>
      <c r="I8" s="15" t="str">
        <f ca="1">INDIRECT(ADDRESS(19,6))&amp;":"&amp;INDIRECT(ADDRESS(19,7))</f>
        <v>2:13</v>
      </c>
      <c r="J8" s="16" t="str">
        <f ca="1">INDIRECT(ADDRESS(22,7))&amp;":"&amp;INDIRECT(ADDRESS(22,6))</f>
        <v>1:13</v>
      </c>
      <c r="K8" s="98">
        <f ca="1">IF(COUNT(F9:J9)=0,"",COUNTIF(F9:J9,"&gt;0")+0.5*COUNTIF(F9:J9,0))</f>
        <v>0</v>
      </c>
      <c r="L8" s="11"/>
      <c r="M8" s="85">
        <v>5</v>
      </c>
    </row>
    <row r="9" spans="2:13" ht="24" customHeight="1">
      <c r="B9" s="90"/>
      <c r="C9" s="94"/>
      <c r="D9" s="95"/>
      <c r="E9" s="96"/>
      <c r="F9" s="17">
        <f ca="1">IF(LEN(INDIRECT(ADDRESS(ROW()-1, COLUMN())))=1,"",INDIRECT(ADDRESS(26,6))-INDIRECT(ADDRESS(26,7)))</f>
        <v>-2</v>
      </c>
      <c r="G9" s="11">
        <f ca="1">IF(LEN(INDIRECT(ADDRESS(ROW()-1, COLUMN())))=1,"",INDIRECT(ADDRESS(31,7))-INDIRECT(ADDRESS(31,6)))</f>
        <v>-11</v>
      </c>
      <c r="H9" s="18" t="s">
        <v>33</v>
      </c>
      <c r="I9" s="11">
        <f ca="1">IF(LEN(INDIRECT(ADDRESS(ROW()-1, COLUMN())))=1,"",INDIRECT(ADDRESS(19,6))-INDIRECT(ADDRESS(19,7)))</f>
        <v>-11</v>
      </c>
      <c r="J9" s="12">
        <f ca="1">IF(LEN(INDIRECT(ADDRESS(ROW()-1, COLUMN())))=1,"",INDIRECT(ADDRESS(22,7))-INDIRECT(ADDRESS(22,6)))</f>
        <v>-12</v>
      </c>
      <c r="K9" s="98"/>
      <c r="L9" s="11"/>
      <c r="M9" s="85"/>
    </row>
    <row r="10" spans="2:13" ht="24" customHeight="1">
      <c r="B10" s="101">
        <v>4</v>
      </c>
      <c r="C10" s="94" t="s">
        <v>47</v>
      </c>
      <c r="D10" s="95"/>
      <c r="E10" s="96"/>
      <c r="F10" s="13" t="str">
        <f ca="1">INDIRECT(ADDRESS(30,7))&amp;":"&amp;INDIRECT(ADDRESS(30,6))</f>
        <v>10:2</v>
      </c>
      <c r="G10" s="15" t="str">
        <f ca="1">INDIRECT(ADDRESS(34,6))&amp;":"&amp;INDIRECT(ADDRESS(34,7))</f>
        <v>7:5</v>
      </c>
      <c r="H10" s="15" t="str">
        <f ca="1">INDIRECT(ADDRESS(19,7))&amp;":"&amp;INDIRECT(ADDRESS(19,6))</f>
        <v>13:2</v>
      </c>
      <c r="I10" s="14" t="s">
        <v>33</v>
      </c>
      <c r="J10" s="16" t="str">
        <f ca="1">INDIRECT(ADDRESS(27,6))&amp;":"&amp;INDIRECT(ADDRESS(27,7))</f>
        <v>7:5</v>
      </c>
      <c r="K10" s="98">
        <f ca="1">IF(COUNT(F11:J11)=0,"",COUNTIF(F11:J11,"&gt;0")+0.5*COUNTIF(F11:J11,0))</f>
        <v>4</v>
      </c>
      <c r="L10" s="11"/>
      <c r="M10" s="85">
        <v>1</v>
      </c>
    </row>
    <row r="11" spans="2:13" ht="24" customHeight="1">
      <c r="B11" s="90"/>
      <c r="C11" s="94"/>
      <c r="D11" s="95"/>
      <c r="E11" s="96"/>
      <c r="F11" s="17">
        <f ca="1">IF(LEN(INDIRECT(ADDRESS(ROW()-1, COLUMN())))=1,"",INDIRECT(ADDRESS(30,7))-INDIRECT(ADDRESS(30,6)))</f>
        <v>8</v>
      </c>
      <c r="G11" s="11">
        <f ca="1">IF(LEN(INDIRECT(ADDRESS(ROW()-1, COLUMN())))=1,"",INDIRECT(ADDRESS(34,6))-INDIRECT(ADDRESS(34,7)))</f>
        <v>2</v>
      </c>
      <c r="H11" s="11">
        <f ca="1">IF(LEN(INDIRECT(ADDRESS(ROW()-1, COLUMN())))=1,"",INDIRECT(ADDRESS(19,7))-INDIRECT(ADDRESS(19,6)))</f>
        <v>11</v>
      </c>
      <c r="I11" s="18" t="s">
        <v>33</v>
      </c>
      <c r="J11" s="12">
        <f ca="1">IF(LEN(INDIRECT(ADDRESS(ROW()-1, COLUMN())))=1,"",INDIRECT(ADDRESS(27,6))-INDIRECT(ADDRESS(27,7)))</f>
        <v>2</v>
      </c>
      <c r="K11" s="98"/>
      <c r="L11" s="11"/>
      <c r="M11" s="85"/>
    </row>
    <row r="12" spans="2:13" ht="24" customHeight="1">
      <c r="B12" s="101">
        <v>5</v>
      </c>
      <c r="C12" s="94" t="s">
        <v>48</v>
      </c>
      <c r="D12" s="95"/>
      <c r="E12" s="96"/>
      <c r="F12" s="13" t="str">
        <f ca="1">INDIRECT(ADDRESS(35,6))&amp;":"&amp;INDIRECT(ADDRESS(35,7))</f>
        <v>7:13</v>
      </c>
      <c r="G12" s="15" t="str">
        <f ca="1">INDIRECT(ADDRESS(18,7))&amp;":"&amp;INDIRECT(ADDRESS(18,6))</f>
        <v>4:9</v>
      </c>
      <c r="H12" s="15" t="str">
        <f ca="1">INDIRECT(ADDRESS(22,6))&amp;":"&amp;INDIRECT(ADDRESS(22,7))</f>
        <v>13:1</v>
      </c>
      <c r="I12" s="15" t="str">
        <f ca="1">INDIRECT(ADDRESS(27,7))&amp;":"&amp;INDIRECT(ADDRESS(27,6))</f>
        <v>5:7</v>
      </c>
      <c r="J12" s="25" t="s">
        <v>33</v>
      </c>
      <c r="K12" s="98">
        <f ca="1">IF(COUNT(F13:J13)=0,"",COUNTIF(F13:J13,"&gt;0")+0.5*COUNTIF(F13:J13,0))</f>
        <v>1</v>
      </c>
      <c r="L12" s="11"/>
      <c r="M12" s="85">
        <v>4</v>
      </c>
    </row>
    <row r="13" spans="2:13" ht="24" customHeight="1" thickBot="1">
      <c r="B13" s="107"/>
      <c r="C13" s="108"/>
      <c r="D13" s="109"/>
      <c r="E13" s="110"/>
      <c r="F13" s="19">
        <f ca="1">IF(LEN(INDIRECT(ADDRESS(ROW()-1, COLUMN())))=1,"",INDIRECT(ADDRESS(35,6))-INDIRECT(ADDRESS(35,7)))</f>
        <v>-6</v>
      </c>
      <c r="G13" s="20">
        <f ca="1">IF(LEN(INDIRECT(ADDRESS(ROW()-1, COLUMN())))=1,"",INDIRECT(ADDRESS(18,7))-INDIRECT(ADDRESS(18,6)))</f>
        <v>-5</v>
      </c>
      <c r="H13" s="20">
        <f ca="1">IF(LEN(INDIRECT(ADDRESS(ROW()-1, COLUMN())))=1,"",INDIRECT(ADDRESS(22,6))-INDIRECT(ADDRESS(22,7)))</f>
        <v>12</v>
      </c>
      <c r="I13" s="20">
        <f ca="1">IF(LEN(INDIRECT(ADDRESS(ROW()-1, COLUMN())))=1,"",INDIRECT(ADDRESS(27,7))-INDIRECT(ADDRESS(27,6)))</f>
        <v>-2</v>
      </c>
      <c r="J13" s="21" t="s">
        <v>33</v>
      </c>
      <c r="K13" s="99"/>
      <c r="L13" s="20"/>
      <c r="M13" s="100"/>
    </row>
    <row r="14" spans="2:13">
      <c r="M14"/>
    </row>
    <row r="15" spans="2:13">
      <c r="M15"/>
    </row>
    <row r="16" spans="2:13">
      <c r="M16"/>
    </row>
    <row r="17" spans="1:13" s="50" customFormat="1" ht="30" customHeight="1" thickBot="1">
      <c r="A17" s="49"/>
      <c r="B17" s="105" t="s">
        <v>4</v>
      </c>
      <c r="C17" s="105"/>
      <c r="D17" s="105"/>
      <c r="E17" s="105"/>
      <c r="F17" s="105"/>
      <c r="G17" s="105"/>
      <c r="H17" s="105"/>
      <c r="I17" s="105"/>
      <c r="J17" s="105"/>
      <c r="K17" s="105"/>
      <c r="M17" s="51"/>
    </row>
    <row r="18" spans="1:13" s="50" customFormat="1" ht="30" customHeight="1" thickBot="1">
      <c r="A18" s="49"/>
      <c r="B18" s="52">
        <v>2</v>
      </c>
      <c r="C18" s="102" t="str">
        <f ca="1">IF(ISBLANK(INDIRECT(ADDRESS(B18*2+2,3))),"",INDIRECT(ADDRESS(B18*2+2,3)))</f>
        <v>Лукин - Фёдорова</v>
      </c>
      <c r="D18" s="102"/>
      <c r="E18" s="103"/>
      <c r="F18" s="53">
        <v>9</v>
      </c>
      <c r="G18" s="54">
        <v>4</v>
      </c>
      <c r="H18" s="104" t="str">
        <f ca="1">IF(ISBLANK(INDIRECT(ADDRESS(K18*2+2,3))),"",INDIRECT(ADDRESS(K18*2+2,3)))</f>
        <v>Аваков - Кукушкина</v>
      </c>
      <c r="I18" s="102"/>
      <c r="J18" s="102"/>
      <c r="K18" s="52">
        <v>5</v>
      </c>
      <c r="L18" s="55" t="s">
        <v>5</v>
      </c>
      <c r="M18" s="48">
        <v>5</v>
      </c>
    </row>
    <row r="19" spans="1:13" s="50" customFormat="1" ht="30" customHeight="1" thickBot="1">
      <c r="A19" s="49"/>
      <c r="B19" s="52">
        <v>3</v>
      </c>
      <c r="C19" s="102" t="str">
        <f ca="1">IF(ISBLANK(INDIRECT(ADDRESS(B19*2+2,3))),"",INDIRECT(ADDRESS(B19*2+2,3)))</f>
        <v>Клименко - Цепелева</v>
      </c>
      <c r="D19" s="102"/>
      <c r="E19" s="103"/>
      <c r="F19" s="53">
        <v>2</v>
      </c>
      <c r="G19" s="54">
        <v>13</v>
      </c>
      <c r="H19" s="104" t="str">
        <f ca="1">IF(ISBLANK(INDIRECT(ADDRESS(K19*2+2,3))),"",INDIRECT(ADDRESS(K19*2+2,3)))</f>
        <v>Викторов - Дегтярёва М.</v>
      </c>
      <c r="I19" s="102"/>
      <c r="J19" s="102"/>
      <c r="K19" s="52">
        <v>4</v>
      </c>
      <c r="L19" s="55" t="s">
        <v>5</v>
      </c>
      <c r="M19" s="48">
        <v>6</v>
      </c>
    </row>
    <row r="20" spans="1:13" s="50" customFormat="1" ht="30" customHeight="1">
      <c r="A20" s="49"/>
      <c r="M20" s="56"/>
    </row>
    <row r="21" spans="1:13" s="50" customFormat="1" ht="30" customHeight="1" thickBot="1">
      <c r="A21" s="49"/>
      <c r="B21" s="105" t="s">
        <v>6</v>
      </c>
      <c r="C21" s="105"/>
      <c r="D21" s="105"/>
      <c r="E21" s="105"/>
      <c r="F21" s="105"/>
      <c r="G21" s="105"/>
      <c r="H21" s="105"/>
      <c r="I21" s="105"/>
      <c r="J21" s="105"/>
      <c r="K21" s="105"/>
      <c r="M21" s="56"/>
    </row>
    <row r="22" spans="1:13" s="50" customFormat="1" ht="30" customHeight="1" thickBot="1">
      <c r="A22" s="49"/>
      <c r="B22" s="52">
        <v>5</v>
      </c>
      <c r="C22" s="102" t="str">
        <f ca="1">IF(ISBLANK(INDIRECT(ADDRESS(B22*2+2,3))),"",INDIRECT(ADDRESS(B22*2+2,3)))</f>
        <v>Аваков - Кукушкина</v>
      </c>
      <c r="D22" s="102"/>
      <c r="E22" s="103"/>
      <c r="F22" s="53">
        <v>13</v>
      </c>
      <c r="G22" s="54">
        <v>1</v>
      </c>
      <c r="H22" s="104" t="str">
        <f ca="1">IF(ISBLANK(INDIRECT(ADDRESS(K22*2+2,3))),"",INDIRECT(ADDRESS(K22*2+2,3)))</f>
        <v>Клименко - Цепелева</v>
      </c>
      <c r="I22" s="102"/>
      <c r="J22" s="102"/>
      <c r="K22" s="52">
        <v>3</v>
      </c>
      <c r="L22" s="55" t="s">
        <v>5</v>
      </c>
      <c r="M22" s="48">
        <v>7</v>
      </c>
    </row>
    <row r="23" spans="1:13" s="50" customFormat="1" ht="30" customHeight="1" thickBot="1">
      <c r="A23" s="49"/>
      <c r="B23" s="52">
        <v>1</v>
      </c>
      <c r="C23" s="102" t="str">
        <f ca="1">IF(ISBLANK(INDIRECT(ADDRESS(B23*2+2,3))),"",INDIRECT(ADDRESS(B23*2+2,3)))</f>
        <v>Соколовский - Сапронова</v>
      </c>
      <c r="D23" s="102"/>
      <c r="E23" s="103"/>
      <c r="F23" s="53">
        <v>6</v>
      </c>
      <c r="G23" s="54">
        <v>7</v>
      </c>
      <c r="H23" s="104" t="str">
        <f ca="1">IF(ISBLANK(INDIRECT(ADDRESS(K23*2+2,3))),"",INDIRECT(ADDRESS(K23*2+2,3)))</f>
        <v>Лукин - Фёдорова</v>
      </c>
      <c r="I23" s="102"/>
      <c r="J23" s="102"/>
      <c r="K23" s="52">
        <v>2</v>
      </c>
      <c r="L23" s="55" t="s">
        <v>5</v>
      </c>
      <c r="M23" s="48">
        <v>8</v>
      </c>
    </row>
    <row r="24" spans="1:13" s="50" customFormat="1" ht="30" customHeight="1">
      <c r="A24" s="49"/>
      <c r="M24" s="56"/>
    </row>
    <row r="25" spans="1:13" s="50" customFormat="1" ht="30" customHeight="1" thickBot="1">
      <c r="A25" s="49"/>
      <c r="B25" s="105" t="s">
        <v>7</v>
      </c>
      <c r="C25" s="105"/>
      <c r="D25" s="105"/>
      <c r="E25" s="105"/>
      <c r="F25" s="105"/>
      <c r="G25" s="105"/>
      <c r="H25" s="105"/>
      <c r="I25" s="105"/>
      <c r="J25" s="105"/>
      <c r="K25" s="105"/>
      <c r="M25" s="56"/>
    </row>
    <row r="26" spans="1:13" s="50" customFormat="1" ht="30" customHeight="1" thickBot="1">
      <c r="A26" s="49"/>
      <c r="B26" s="52">
        <v>3</v>
      </c>
      <c r="C26" s="102" t="str">
        <f ca="1">IF(ISBLANK(INDIRECT(ADDRESS(B26*2+2,3))),"",INDIRECT(ADDRESS(B26*2+2,3)))</f>
        <v>Клименко - Цепелева</v>
      </c>
      <c r="D26" s="102"/>
      <c r="E26" s="103"/>
      <c r="F26" s="53">
        <v>7</v>
      </c>
      <c r="G26" s="54">
        <v>9</v>
      </c>
      <c r="H26" s="104" t="str">
        <f ca="1">IF(ISBLANK(INDIRECT(ADDRESS(K26*2+2,3))),"",INDIRECT(ADDRESS(K26*2+2,3)))</f>
        <v>Соколовский - Сапронова</v>
      </c>
      <c r="I26" s="102"/>
      <c r="J26" s="102"/>
      <c r="K26" s="52">
        <v>1</v>
      </c>
      <c r="L26" s="55" t="s">
        <v>5</v>
      </c>
      <c r="M26" s="48">
        <v>1</v>
      </c>
    </row>
    <row r="27" spans="1:13" s="50" customFormat="1" ht="30" customHeight="1" thickBot="1">
      <c r="A27" s="49"/>
      <c r="B27" s="52">
        <v>4</v>
      </c>
      <c r="C27" s="102" t="str">
        <f ca="1">IF(ISBLANK(INDIRECT(ADDRESS(B27*2+2,3))),"",INDIRECT(ADDRESS(B27*2+2,3)))</f>
        <v>Викторов - Дегтярёва М.</v>
      </c>
      <c r="D27" s="102"/>
      <c r="E27" s="103"/>
      <c r="F27" s="53">
        <v>7</v>
      </c>
      <c r="G27" s="54">
        <v>5</v>
      </c>
      <c r="H27" s="104" t="str">
        <f ca="1">IF(ISBLANK(INDIRECT(ADDRESS(K27*2+2,3))),"",INDIRECT(ADDRESS(K27*2+2,3)))</f>
        <v>Аваков - Кукушкина</v>
      </c>
      <c r="I27" s="102"/>
      <c r="J27" s="102"/>
      <c r="K27" s="52">
        <v>5</v>
      </c>
      <c r="L27" s="55" t="s">
        <v>5</v>
      </c>
      <c r="M27" s="48">
        <v>3</v>
      </c>
    </row>
    <row r="28" spans="1:13" s="50" customFormat="1" ht="30" customHeight="1">
      <c r="A28" s="49"/>
      <c r="M28" s="56"/>
    </row>
    <row r="29" spans="1:13" s="50" customFormat="1" ht="30" customHeight="1" thickBot="1">
      <c r="A29" s="49"/>
      <c r="B29" s="105" t="s">
        <v>8</v>
      </c>
      <c r="C29" s="105"/>
      <c r="D29" s="105"/>
      <c r="E29" s="105"/>
      <c r="F29" s="105"/>
      <c r="G29" s="105"/>
      <c r="H29" s="105"/>
      <c r="I29" s="105"/>
      <c r="J29" s="105"/>
      <c r="K29" s="105"/>
      <c r="M29" s="56"/>
    </row>
    <row r="30" spans="1:13" s="50" customFormat="1" ht="30" customHeight="1" thickBot="1">
      <c r="A30" s="49"/>
      <c r="B30" s="52">
        <v>1</v>
      </c>
      <c r="C30" s="102" t="str">
        <f ca="1">IF(ISBLANK(INDIRECT(ADDRESS(B30*2+2,3))),"",INDIRECT(ADDRESS(B30*2+2,3)))</f>
        <v>Соколовский - Сапронова</v>
      </c>
      <c r="D30" s="102"/>
      <c r="E30" s="103"/>
      <c r="F30" s="53">
        <v>2</v>
      </c>
      <c r="G30" s="54">
        <v>10</v>
      </c>
      <c r="H30" s="104" t="str">
        <f ca="1">IF(ISBLANK(INDIRECT(ADDRESS(K30*2+2,3))),"",INDIRECT(ADDRESS(K30*2+2,3)))</f>
        <v>Викторов - Дегтярёва М.</v>
      </c>
      <c r="I30" s="102"/>
      <c r="J30" s="102"/>
      <c r="K30" s="52">
        <v>4</v>
      </c>
      <c r="L30" s="55" t="s">
        <v>5</v>
      </c>
      <c r="M30" s="48">
        <v>6</v>
      </c>
    </row>
    <row r="31" spans="1:13" s="50" customFormat="1" ht="30" customHeight="1" thickBot="1">
      <c r="A31" s="49"/>
      <c r="B31" s="52">
        <v>2</v>
      </c>
      <c r="C31" s="102" t="str">
        <f ca="1">IF(ISBLANK(INDIRECT(ADDRESS(B31*2+2,3))),"",INDIRECT(ADDRESS(B31*2+2,3)))</f>
        <v>Лукин - Фёдорова</v>
      </c>
      <c r="D31" s="102"/>
      <c r="E31" s="103"/>
      <c r="F31" s="53">
        <v>13</v>
      </c>
      <c r="G31" s="54">
        <v>2</v>
      </c>
      <c r="H31" s="104" t="str">
        <f ca="1">IF(ISBLANK(INDIRECT(ADDRESS(K31*2+2,3))),"",INDIRECT(ADDRESS(K31*2+2,3)))</f>
        <v>Клименко - Цепелева</v>
      </c>
      <c r="I31" s="102"/>
      <c r="J31" s="102"/>
      <c r="K31" s="52">
        <v>3</v>
      </c>
      <c r="L31" s="55" t="s">
        <v>5</v>
      </c>
      <c r="M31" s="48">
        <v>8</v>
      </c>
    </row>
    <row r="32" spans="1:13" s="50" customFormat="1" ht="30" customHeight="1">
      <c r="A32" s="49"/>
      <c r="M32" s="56"/>
    </row>
    <row r="33" spans="1:13" s="50" customFormat="1" ht="30" customHeight="1" thickBot="1">
      <c r="A33" s="49"/>
      <c r="B33" s="105" t="s">
        <v>9</v>
      </c>
      <c r="C33" s="105"/>
      <c r="D33" s="105"/>
      <c r="E33" s="105"/>
      <c r="F33" s="105"/>
      <c r="G33" s="105"/>
      <c r="H33" s="105"/>
      <c r="I33" s="105"/>
      <c r="J33" s="105"/>
      <c r="K33" s="105"/>
      <c r="M33" s="56"/>
    </row>
    <row r="34" spans="1:13" s="50" customFormat="1" ht="30" customHeight="1" thickBot="1">
      <c r="A34" s="49"/>
      <c r="B34" s="52">
        <v>4</v>
      </c>
      <c r="C34" s="102" t="str">
        <f ca="1">IF(ISBLANK(INDIRECT(ADDRESS(B34*2+2,3))),"",INDIRECT(ADDRESS(B34*2+2,3)))</f>
        <v>Викторов - Дегтярёва М.</v>
      </c>
      <c r="D34" s="102"/>
      <c r="E34" s="103"/>
      <c r="F34" s="53">
        <v>7</v>
      </c>
      <c r="G34" s="54">
        <v>5</v>
      </c>
      <c r="H34" s="104" t="str">
        <f ca="1">IF(ISBLANK(INDIRECT(ADDRESS(K34*2+2,3))),"",INDIRECT(ADDRESS(K34*2+2,3)))</f>
        <v>Лукин - Фёдорова</v>
      </c>
      <c r="I34" s="102"/>
      <c r="J34" s="102"/>
      <c r="K34" s="52">
        <v>2</v>
      </c>
      <c r="L34" s="55" t="s">
        <v>5</v>
      </c>
      <c r="M34" s="48">
        <v>11</v>
      </c>
    </row>
    <row r="35" spans="1:13" s="50" customFormat="1" ht="30" customHeight="1" thickBot="1">
      <c r="A35" s="49"/>
      <c r="B35" s="52">
        <v>5</v>
      </c>
      <c r="C35" s="102" t="str">
        <f ca="1">IF(ISBLANK(INDIRECT(ADDRESS(B35*2+2,3))),"",INDIRECT(ADDRESS(B35*2+2,3)))</f>
        <v>Аваков - Кукушкина</v>
      </c>
      <c r="D35" s="102"/>
      <c r="E35" s="103"/>
      <c r="F35" s="53">
        <v>7</v>
      </c>
      <c r="G35" s="54">
        <v>13</v>
      </c>
      <c r="H35" s="104" t="str">
        <f ca="1">IF(ISBLANK(INDIRECT(ADDRESS(K35*2+2,3))),"",INDIRECT(ADDRESS(K35*2+2,3)))</f>
        <v>Соколовский - Сапронова</v>
      </c>
      <c r="I35" s="102"/>
      <c r="J35" s="102"/>
      <c r="K35" s="52">
        <v>1</v>
      </c>
      <c r="L35" s="55" t="s">
        <v>5</v>
      </c>
      <c r="M35" s="48">
        <v>9</v>
      </c>
    </row>
    <row r="39" spans="1:13" ht="21">
      <c r="B39" s="29" t="s">
        <v>29</v>
      </c>
      <c r="C39" s="29"/>
      <c r="D39" s="29"/>
      <c r="E39" s="29"/>
    </row>
    <row r="40" spans="1:13" ht="21">
      <c r="B40" s="29"/>
      <c r="C40" s="29"/>
      <c r="D40" s="29"/>
      <c r="E40" s="29"/>
    </row>
    <row r="41" spans="1:13" ht="21">
      <c r="B41" s="29"/>
      <c r="C41" s="29"/>
      <c r="D41" s="29"/>
      <c r="E41" s="29"/>
    </row>
    <row r="42" spans="1:13" ht="21">
      <c r="B42" s="29" t="s">
        <v>31</v>
      </c>
      <c r="C42" s="29"/>
      <c r="D42" s="29"/>
      <c r="E42" s="29"/>
    </row>
  </sheetData>
  <sheetCalcPr fullCalcOnLoad="1"/>
  <mergeCells count="48">
    <mergeCell ref="C35:E35"/>
    <mergeCell ref="H35:J35"/>
    <mergeCell ref="M10:M11"/>
    <mergeCell ref="B12:B13"/>
    <mergeCell ref="H23:J23"/>
    <mergeCell ref="B33:K33"/>
    <mergeCell ref="C34:E34"/>
    <mergeCell ref="H34:J34"/>
    <mergeCell ref="C22:E22"/>
    <mergeCell ref="H22:J22"/>
    <mergeCell ref="C23:E23"/>
    <mergeCell ref="B1:M1"/>
    <mergeCell ref="B2:M2"/>
    <mergeCell ref="C27:E27"/>
    <mergeCell ref="H27:J27"/>
    <mergeCell ref="B10:B11"/>
    <mergeCell ref="C10:E11"/>
    <mergeCell ref="K10:K11"/>
    <mergeCell ref="C30:E30"/>
    <mergeCell ref="H30:J30"/>
    <mergeCell ref="C31:E31"/>
    <mergeCell ref="H31:J31"/>
    <mergeCell ref="B29:K29"/>
    <mergeCell ref="B17:K17"/>
    <mergeCell ref="C18:E18"/>
    <mergeCell ref="H18:J18"/>
    <mergeCell ref="C19:E19"/>
    <mergeCell ref="H19:J19"/>
    <mergeCell ref="B8:B9"/>
    <mergeCell ref="C8:E9"/>
    <mergeCell ref="K8:K9"/>
    <mergeCell ref="M8:M9"/>
    <mergeCell ref="B25:K25"/>
    <mergeCell ref="C26:E26"/>
    <mergeCell ref="H26:J26"/>
    <mergeCell ref="C12:E13"/>
    <mergeCell ref="K12:K13"/>
    <mergeCell ref="B21:K21"/>
    <mergeCell ref="M4:M5"/>
    <mergeCell ref="C3:E3"/>
    <mergeCell ref="B4:B5"/>
    <mergeCell ref="C4:E5"/>
    <mergeCell ref="K4:K5"/>
    <mergeCell ref="M12:M13"/>
    <mergeCell ref="B6:B7"/>
    <mergeCell ref="C6:E7"/>
    <mergeCell ref="K6:K7"/>
    <mergeCell ref="M6:M7"/>
  </mergeCells>
  <phoneticPr fontId="15" type="noConversion"/>
  <printOptions horizontalCentered="1"/>
  <pageMargins left="0.25" right="0.25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2"/>
  <sheetViews>
    <sheetView workbookViewId="0">
      <selection activeCell="B39" sqref="B39:E42"/>
    </sheetView>
  </sheetViews>
  <sheetFormatPr defaultRowHeight="15"/>
  <cols>
    <col min="1" max="1" width="4" style="24" customWidth="1"/>
    <col min="2" max="2" width="10.28515625" customWidth="1"/>
    <col min="3" max="10" width="11.28515625" customWidth="1"/>
    <col min="11" max="12" width="10.28515625" customWidth="1"/>
    <col min="13" max="13" width="10.28515625" style="27" customWidth="1"/>
    <col min="14" max="15" width="10.28515625" customWidth="1"/>
  </cols>
  <sheetData>
    <row r="1" spans="2:13" ht="51" customHeight="1">
      <c r="B1" s="106" t="s">
        <v>98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2:13" ht="15.75" thickBot="1">
      <c r="M2"/>
    </row>
    <row r="3" spans="2:13" ht="30" customHeight="1" thickBot="1">
      <c r="B3" s="47"/>
      <c r="C3" s="86" t="s">
        <v>0</v>
      </c>
      <c r="D3" s="87"/>
      <c r="E3" s="88"/>
      <c r="F3" s="1">
        <v>1</v>
      </c>
      <c r="G3" s="1">
        <v>2</v>
      </c>
      <c r="H3" s="1">
        <v>3</v>
      </c>
      <c r="I3" s="2">
        <v>4</v>
      </c>
      <c r="J3" s="2">
        <v>5</v>
      </c>
      <c r="K3" s="47" t="s">
        <v>1</v>
      </c>
      <c r="L3" s="1" t="s">
        <v>2</v>
      </c>
      <c r="M3" s="3" t="s">
        <v>3</v>
      </c>
    </row>
    <row r="4" spans="2:13" ht="24" customHeight="1">
      <c r="B4" s="89">
        <v>1</v>
      </c>
      <c r="C4" s="91" t="s">
        <v>49</v>
      </c>
      <c r="D4" s="92"/>
      <c r="E4" s="93"/>
      <c r="F4" s="6" t="s">
        <v>33</v>
      </c>
      <c r="G4" s="7" t="str">
        <f ca="1">INDIRECT(ADDRESS(23,6))&amp;":"&amp;INDIRECT(ADDRESS(23,7))</f>
        <v>5:13</v>
      </c>
      <c r="H4" s="7" t="str">
        <f ca="1">INDIRECT(ADDRESS(26,7))&amp;":"&amp;INDIRECT(ADDRESS(26,6))</f>
        <v>6:10</v>
      </c>
      <c r="I4" s="7" t="str">
        <f ca="1">INDIRECT(ADDRESS(30,6))&amp;":"&amp;INDIRECT(ADDRESS(30,7))</f>
        <v>4:13</v>
      </c>
      <c r="J4" s="8" t="str">
        <f ca="1">INDIRECT(ADDRESS(35,7))&amp;":"&amp;INDIRECT(ADDRESS(35,6))</f>
        <v>5:10</v>
      </c>
      <c r="K4" s="97">
        <f ca="1">IF(COUNT(F5:J5)=0,"",COUNTIF(F5:J5,"&gt;0")+0.5*COUNTIF(F5:J5,0))</f>
        <v>0</v>
      </c>
      <c r="L4" s="9"/>
      <c r="M4" s="84">
        <v>5</v>
      </c>
    </row>
    <row r="5" spans="2:13" ht="24" customHeight="1">
      <c r="B5" s="90"/>
      <c r="C5" s="94"/>
      <c r="D5" s="95"/>
      <c r="E5" s="96"/>
      <c r="F5" s="10" t="s">
        <v>33</v>
      </c>
      <c r="G5" s="11">
        <f ca="1">IF(LEN(INDIRECT(ADDRESS(ROW()-1, COLUMN())))=1,"",INDIRECT(ADDRESS(23,6))-INDIRECT(ADDRESS(23,7)))</f>
        <v>-8</v>
      </c>
      <c r="H5" s="11">
        <f ca="1">IF(LEN(INDIRECT(ADDRESS(ROW()-1, COLUMN())))=1,"",INDIRECT(ADDRESS(26,7))-INDIRECT(ADDRESS(26,6)))</f>
        <v>-4</v>
      </c>
      <c r="I5" s="11">
        <f ca="1">IF(LEN(INDIRECT(ADDRESS(ROW()-1, COLUMN())))=1,"",INDIRECT(ADDRESS(30,6))-INDIRECT(ADDRESS(30,7)))</f>
        <v>-9</v>
      </c>
      <c r="J5" s="12">
        <f ca="1">IF(LEN(INDIRECT(ADDRESS(ROW()-1, COLUMN())))=1,"",INDIRECT(ADDRESS(35,7))-INDIRECT(ADDRESS(35,6)))</f>
        <v>-5</v>
      </c>
      <c r="K5" s="98"/>
      <c r="L5" s="11"/>
      <c r="M5" s="85"/>
    </row>
    <row r="6" spans="2:13" ht="24" customHeight="1">
      <c r="B6" s="101">
        <v>2</v>
      </c>
      <c r="C6" s="94" t="s">
        <v>50</v>
      </c>
      <c r="D6" s="95"/>
      <c r="E6" s="96"/>
      <c r="F6" s="13" t="str">
        <f ca="1">INDIRECT(ADDRESS(23,7))&amp;":"&amp;INDIRECT(ADDRESS(23,6))</f>
        <v>13:5</v>
      </c>
      <c r="G6" s="14" t="s">
        <v>33</v>
      </c>
      <c r="H6" s="15" t="str">
        <f ca="1">INDIRECT(ADDRESS(31,6))&amp;":"&amp;INDIRECT(ADDRESS(31,7))</f>
        <v>9:7</v>
      </c>
      <c r="I6" s="15" t="str">
        <f ca="1">INDIRECT(ADDRESS(34,7))&amp;":"&amp;INDIRECT(ADDRESS(34,6))</f>
        <v>11:7</v>
      </c>
      <c r="J6" s="16" t="str">
        <f ca="1">INDIRECT(ADDRESS(18,6))&amp;":"&amp;INDIRECT(ADDRESS(18,7))</f>
        <v>13:4</v>
      </c>
      <c r="K6" s="98">
        <f ca="1">IF(COUNT(F7:J7)=0,"",COUNTIF(F7:J7,"&gt;0")+0.5*COUNTIF(F7:J7,0))</f>
        <v>4</v>
      </c>
      <c r="L6" s="11"/>
      <c r="M6" s="85">
        <v>1</v>
      </c>
    </row>
    <row r="7" spans="2:13" ht="24" customHeight="1">
      <c r="B7" s="90"/>
      <c r="C7" s="94"/>
      <c r="D7" s="95"/>
      <c r="E7" s="96"/>
      <c r="F7" s="17">
        <f ca="1">IF(LEN(INDIRECT(ADDRESS(ROW()-1, COLUMN())))=1,"",INDIRECT(ADDRESS(23,7))-INDIRECT(ADDRESS(23,6)))</f>
        <v>8</v>
      </c>
      <c r="G7" s="18" t="s">
        <v>33</v>
      </c>
      <c r="H7" s="11">
        <f ca="1">IF(LEN(INDIRECT(ADDRESS(ROW()-1, COLUMN())))=1,"",INDIRECT(ADDRESS(31,6))-INDIRECT(ADDRESS(31,7)))</f>
        <v>2</v>
      </c>
      <c r="I7" s="11">
        <f ca="1">IF(LEN(INDIRECT(ADDRESS(ROW()-1, COLUMN())))=1,"",INDIRECT(ADDRESS(34,7))-INDIRECT(ADDRESS(34,6)))</f>
        <v>4</v>
      </c>
      <c r="J7" s="12">
        <f ca="1">IF(LEN(INDIRECT(ADDRESS(ROW()-1, COLUMN())))=1,"",INDIRECT(ADDRESS(18,6))-INDIRECT(ADDRESS(18,7)))</f>
        <v>9</v>
      </c>
      <c r="K7" s="98"/>
      <c r="L7" s="11"/>
      <c r="M7" s="85"/>
    </row>
    <row r="8" spans="2:13" ht="24" customHeight="1">
      <c r="B8" s="101">
        <v>3</v>
      </c>
      <c r="C8" s="94" t="s">
        <v>51</v>
      </c>
      <c r="D8" s="95"/>
      <c r="E8" s="96"/>
      <c r="F8" s="13" t="str">
        <f ca="1">INDIRECT(ADDRESS(26,6))&amp;":"&amp;INDIRECT(ADDRESS(26,7))</f>
        <v>10:6</v>
      </c>
      <c r="G8" s="15" t="str">
        <f ca="1">INDIRECT(ADDRESS(31,7))&amp;":"&amp;INDIRECT(ADDRESS(31,6))</f>
        <v>7:9</v>
      </c>
      <c r="H8" s="14" t="s">
        <v>33</v>
      </c>
      <c r="I8" s="15" t="str">
        <f ca="1">INDIRECT(ADDRESS(19,6))&amp;":"&amp;INDIRECT(ADDRESS(19,7))</f>
        <v>8:10</v>
      </c>
      <c r="J8" s="16" t="str">
        <f ca="1">INDIRECT(ADDRESS(22,7))&amp;":"&amp;INDIRECT(ADDRESS(22,6))</f>
        <v>3:7</v>
      </c>
      <c r="K8" s="98">
        <f ca="1">IF(COUNT(F9:J9)=0,"",COUNTIF(F9:J9,"&gt;0")+0.5*COUNTIF(F9:J9,0))</f>
        <v>1</v>
      </c>
      <c r="L8" s="11"/>
      <c r="M8" s="85">
        <v>4</v>
      </c>
    </row>
    <row r="9" spans="2:13" ht="24" customHeight="1">
      <c r="B9" s="90"/>
      <c r="C9" s="94"/>
      <c r="D9" s="95"/>
      <c r="E9" s="96"/>
      <c r="F9" s="17">
        <f ca="1">IF(LEN(INDIRECT(ADDRESS(ROW()-1, COLUMN())))=1,"",INDIRECT(ADDRESS(26,6))-INDIRECT(ADDRESS(26,7)))</f>
        <v>4</v>
      </c>
      <c r="G9" s="11">
        <f ca="1">IF(LEN(INDIRECT(ADDRESS(ROW()-1, COLUMN())))=1,"",INDIRECT(ADDRESS(31,7))-INDIRECT(ADDRESS(31,6)))</f>
        <v>-2</v>
      </c>
      <c r="H9" s="18" t="s">
        <v>33</v>
      </c>
      <c r="I9" s="11">
        <f ca="1">IF(LEN(INDIRECT(ADDRESS(ROW()-1, COLUMN())))=1,"",INDIRECT(ADDRESS(19,6))-INDIRECT(ADDRESS(19,7)))</f>
        <v>-2</v>
      </c>
      <c r="J9" s="12">
        <f ca="1">IF(LEN(INDIRECT(ADDRESS(ROW()-1, COLUMN())))=1,"",INDIRECT(ADDRESS(22,7))-INDIRECT(ADDRESS(22,6)))</f>
        <v>-4</v>
      </c>
      <c r="K9" s="98"/>
      <c r="L9" s="11"/>
      <c r="M9" s="85"/>
    </row>
    <row r="10" spans="2:13" ht="24" customHeight="1">
      <c r="B10" s="101">
        <v>4</v>
      </c>
      <c r="C10" s="94" t="s">
        <v>52</v>
      </c>
      <c r="D10" s="95"/>
      <c r="E10" s="96"/>
      <c r="F10" s="13" t="str">
        <f ca="1">INDIRECT(ADDRESS(30,7))&amp;":"&amp;INDIRECT(ADDRESS(30,6))</f>
        <v>13:4</v>
      </c>
      <c r="G10" s="15" t="str">
        <f ca="1">INDIRECT(ADDRESS(34,6))&amp;":"&amp;INDIRECT(ADDRESS(34,7))</f>
        <v>7:11</v>
      </c>
      <c r="H10" s="15" t="str">
        <f ca="1">INDIRECT(ADDRESS(19,7))&amp;":"&amp;INDIRECT(ADDRESS(19,6))</f>
        <v>10:8</v>
      </c>
      <c r="I10" s="14" t="s">
        <v>33</v>
      </c>
      <c r="J10" s="16" t="str">
        <f ca="1">INDIRECT(ADDRESS(27,6))&amp;":"&amp;INDIRECT(ADDRESS(27,7))</f>
        <v>3:10</v>
      </c>
      <c r="K10" s="98">
        <f ca="1">IF(COUNT(F11:J11)=0,"",COUNTIF(F11:J11,"&gt;0")+0.5*COUNTIF(F11:J11,0))</f>
        <v>2</v>
      </c>
      <c r="L10" s="11"/>
      <c r="M10" s="85">
        <v>3</v>
      </c>
    </row>
    <row r="11" spans="2:13" ht="24" customHeight="1">
      <c r="B11" s="90"/>
      <c r="C11" s="94"/>
      <c r="D11" s="95"/>
      <c r="E11" s="96"/>
      <c r="F11" s="17">
        <f ca="1">IF(LEN(INDIRECT(ADDRESS(ROW()-1, COLUMN())))=1,"",INDIRECT(ADDRESS(30,7))-INDIRECT(ADDRESS(30,6)))</f>
        <v>9</v>
      </c>
      <c r="G11" s="11">
        <f ca="1">IF(LEN(INDIRECT(ADDRESS(ROW()-1, COLUMN())))=1,"",INDIRECT(ADDRESS(34,6))-INDIRECT(ADDRESS(34,7)))</f>
        <v>-4</v>
      </c>
      <c r="H11" s="11">
        <f ca="1">IF(LEN(INDIRECT(ADDRESS(ROW()-1, COLUMN())))=1,"",INDIRECT(ADDRESS(19,7))-INDIRECT(ADDRESS(19,6)))</f>
        <v>2</v>
      </c>
      <c r="I11" s="18" t="s">
        <v>33</v>
      </c>
      <c r="J11" s="12">
        <f ca="1">IF(LEN(INDIRECT(ADDRESS(ROW()-1, COLUMN())))=1,"",INDIRECT(ADDRESS(27,6))-INDIRECT(ADDRESS(27,7)))</f>
        <v>-7</v>
      </c>
      <c r="K11" s="98"/>
      <c r="L11" s="11"/>
      <c r="M11" s="85"/>
    </row>
    <row r="12" spans="2:13" ht="24" customHeight="1">
      <c r="B12" s="101">
        <v>5</v>
      </c>
      <c r="C12" s="94" t="s">
        <v>53</v>
      </c>
      <c r="D12" s="95"/>
      <c r="E12" s="96"/>
      <c r="F12" s="13" t="str">
        <f ca="1">INDIRECT(ADDRESS(35,6))&amp;":"&amp;INDIRECT(ADDRESS(35,7))</f>
        <v>10:5</v>
      </c>
      <c r="G12" s="15" t="str">
        <f ca="1">INDIRECT(ADDRESS(18,7))&amp;":"&amp;INDIRECT(ADDRESS(18,6))</f>
        <v>4:13</v>
      </c>
      <c r="H12" s="15" t="str">
        <f ca="1">INDIRECT(ADDRESS(22,6))&amp;":"&amp;INDIRECT(ADDRESS(22,7))</f>
        <v>7:3</v>
      </c>
      <c r="I12" s="15" t="str">
        <f ca="1">INDIRECT(ADDRESS(27,7))&amp;":"&amp;INDIRECT(ADDRESS(27,6))</f>
        <v>10:3</v>
      </c>
      <c r="J12" s="25" t="s">
        <v>33</v>
      </c>
      <c r="K12" s="98">
        <f ca="1">IF(COUNT(F13:J13)=0,"",COUNTIF(F13:J13,"&gt;0")+0.5*COUNTIF(F13:J13,0))</f>
        <v>3</v>
      </c>
      <c r="L12" s="11"/>
      <c r="M12" s="85">
        <v>2</v>
      </c>
    </row>
    <row r="13" spans="2:13" ht="24" customHeight="1" thickBot="1">
      <c r="B13" s="107"/>
      <c r="C13" s="108"/>
      <c r="D13" s="109"/>
      <c r="E13" s="110"/>
      <c r="F13" s="19">
        <f ca="1">IF(LEN(INDIRECT(ADDRESS(ROW()-1, COLUMN())))=1,"",INDIRECT(ADDRESS(35,6))-INDIRECT(ADDRESS(35,7)))</f>
        <v>5</v>
      </c>
      <c r="G13" s="20">
        <f ca="1">IF(LEN(INDIRECT(ADDRESS(ROW()-1, COLUMN())))=1,"",INDIRECT(ADDRESS(18,7))-INDIRECT(ADDRESS(18,6)))</f>
        <v>-9</v>
      </c>
      <c r="H13" s="20">
        <f ca="1">IF(LEN(INDIRECT(ADDRESS(ROW()-1, COLUMN())))=1,"",INDIRECT(ADDRESS(22,6))-INDIRECT(ADDRESS(22,7)))</f>
        <v>4</v>
      </c>
      <c r="I13" s="20">
        <f ca="1">IF(LEN(INDIRECT(ADDRESS(ROW()-1, COLUMN())))=1,"",INDIRECT(ADDRESS(27,7))-INDIRECT(ADDRESS(27,6)))</f>
        <v>7</v>
      </c>
      <c r="J13" s="21" t="s">
        <v>33</v>
      </c>
      <c r="K13" s="99"/>
      <c r="L13" s="20"/>
      <c r="M13" s="100"/>
    </row>
    <row r="14" spans="2:13">
      <c r="M14"/>
    </row>
    <row r="15" spans="2:13">
      <c r="M15"/>
    </row>
    <row r="16" spans="2:13">
      <c r="M16"/>
    </row>
    <row r="17" spans="1:13" s="50" customFormat="1" ht="30" customHeight="1" thickBot="1">
      <c r="A17" s="49"/>
      <c r="B17" s="105" t="s">
        <v>4</v>
      </c>
      <c r="C17" s="105"/>
      <c r="D17" s="105"/>
      <c r="E17" s="105"/>
      <c r="F17" s="105"/>
      <c r="G17" s="105"/>
      <c r="H17" s="105"/>
      <c r="I17" s="105"/>
      <c r="J17" s="105"/>
      <c r="K17" s="105"/>
      <c r="M17" s="51"/>
    </row>
    <row r="18" spans="1:13" s="50" customFormat="1" ht="30" customHeight="1" thickBot="1">
      <c r="A18" s="49"/>
      <c r="B18" s="52">
        <v>2</v>
      </c>
      <c r="C18" s="102" t="str">
        <f ca="1">IF(ISBLANK(INDIRECT(ADDRESS(B18*2+2,3))),"",INDIRECT(ADDRESS(B18*2+2,3)))</f>
        <v>Капран-Индаяти - Мусина</v>
      </c>
      <c r="D18" s="102"/>
      <c r="E18" s="103"/>
      <c r="F18" s="53">
        <v>13</v>
      </c>
      <c r="G18" s="54">
        <v>4</v>
      </c>
      <c r="H18" s="104" t="str">
        <f ca="1">IF(ISBLANK(INDIRECT(ADDRESS(K18*2+2,3))),"",INDIRECT(ADDRESS(K18*2+2,3)))</f>
        <v>Гелдиев - Костяная</v>
      </c>
      <c r="I18" s="102"/>
      <c r="J18" s="102"/>
      <c r="K18" s="52">
        <v>5</v>
      </c>
      <c r="L18" s="55" t="s">
        <v>5</v>
      </c>
      <c r="M18" s="48">
        <v>7</v>
      </c>
    </row>
    <row r="19" spans="1:13" s="50" customFormat="1" ht="30" customHeight="1" thickBot="1">
      <c r="A19" s="49"/>
      <c r="B19" s="52">
        <v>3</v>
      </c>
      <c r="C19" s="102" t="str">
        <f ca="1">IF(ISBLANK(INDIRECT(ADDRESS(B19*2+2,3))),"",INDIRECT(ADDRESS(B19*2+2,3)))</f>
        <v>Борисенко - Мор</v>
      </c>
      <c r="D19" s="102"/>
      <c r="E19" s="103"/>
      <c r="F19" s="53">
        <v>8</v>
      </c>
      <c r="G19" s="54">
        <v>10</v>
      </c>
      <c r="H19" s="104" t="str">
        <f ca="1">IF(ISBLANK(INDIRECT(ADDRESS(K19*2+2,3))),"",INDIRECT(ADDRESS(K19*2+2,3)))</f>
        <v>Валибуз - Савельева</v>
      </c>
      <c r="I19" s="102"/>
      <c r="J19" s="102"/>
      <c r="K19" s="52">
        <v>4</v>
      </c>
      <c r="L19" s="55" t="s">
        <v>5</v>
      </c>
      <c r="M19" s="48">
        <v>8</v>
      </c>
    </row>
    <row r="20" spans="1:13" s="50" customFormat="1" ht="30" customHeight="1">
      <c r="A20" s="49"/>
      <c r="M20" s="56"/>
    </row>
    <row r="21" spans="1:13" s="50" customFormat="1" ht="30" customHeight="1" thickBot="1">
      <c r="A21" s="49"/>
      <c r="B21" s="105" t="s">
        <v>6</v>
      </c>
      <c r="C21" s="105"/>
      <c r="D21" s="105"/>
      <c r="E21" s="105"/>
      <c r="F21" s="105"/>
      <c r="G21" s="105"/>
      <c r="H21" s="105"/>
      <c r="I21" s="105"/>
      <c r="J21" s="105"/>
      <c r="K21" s="105"/>
      <c r="M21" s="56"/>
    </row>
    <row r="22" spans="1:13" s="50" customFormat="1" ht="30" customHeight="1" thickBot="1">
      <c r="A22" s="49"/>
      <c r="B22" s="52">
        <v>5</v>
      </c>
      <c r="C22" s="102" t="str">
        <f ca="1">IF(ISBLANK(INDIRECT(ADDRESS(B22*2+2,3))),"",INDIRECT(ADDRESS(B22*2+2,3)))</f>
        <v>Гелдиев - Костяная</v>
      </c>
      <c r="D22" s="102"/>
      <c r="E22" s="103"/>
      <c r="F22" s="53">
        <v>7</v>
      </c>
      <c r="G22" s="54">
        <v>3</v>
      </c>
      <c r="H22" s="104" t="str">
        <f ca="1">IF(ISBLANK(INDIRECT(ADDRESS(K22*2+2,3))),"",INDIRECT(ADDRESS(K22*2+2,3)))</f>
        <v>Борисенко - Мор</v>
      </c>
      <c r="I22" s="102"/>
      <c r="J22" s="102"/>
      <c r="K22" s="52">
        <v>3</v>
      </c>
      <c r="L22" s="55" t="s">
        <v>5</v>
      </c>
      <c r="M22" s="48">
        <v>1</v>
      </c>
    </row>
    <row r="23" spans="1:13" s="50" customFormat="1" ht="30" customHeight="1" thickBot="1">
      <c r="A23" s="49"/>
      <c r="B23" s="52">
        <v>1</v>
      </c>
      <c r="C23" s="102" t="str">
        <f ca="1">IF(ISBLANK(INDIRECT(ADDRESS(B23*2+2,3))),"",INDIRECT(ADDRESS(B23*2+2,3)))</f>
        <v>Дмитриев - Уразметова</v>
      </c>
      <c r="D23" s="102"/>
      <c r="E23" s="103"/>
      <c r="F23" s="53">
        <v>5</v>
      </c>
      <c r="G23" s="54">
        <v>13</v>
      </c>
      <c r="H23" s="104" t="str">
        <f ca="1">IF(ISBLANK(INDIRECT(ADDRESS(K23*2+2,3))),"",INDIRECT(ADDRESS(K23*2+2,3)))</f>
        <v>Капран-Индаяти - Мусина</v>
      </c>
      <c r="I23" s="102"/>
      <c r="J23" s="102"/>
      <c r="K23" s="52">
        <v>2</v>
      </c>
      <c r="L23" s="55" t="s">
        <v>5</v>
      </c>
      <c r="M23" s="48">
        <v>2</v>
      </c>
    </row>
    <row r="24" spans="1:13" s="50" customFormat="1" ht="30" customHeight="1">
      <c r="A24" s="49"/>
      <c r="M24" s="56"/>
    </row>
    <row r="25" spans="1:13" s="50" customFormat="1" ht="30" customHeight="1" thickBot="1">
      <c r="A25" s="49"/>
      <c r="B25" s="105" t="s">
        <v>7</v>
      </c>
      <c r="C25" s="105"/>
      <c r="D25" s="105"/>
      <c r="E25" s="105"/>
      <c r="F25" s="105"/>
      <c r="G25" s="105"/>
      <c r="H25" s="105"/>
      <c r="I25" s="105"/>
      <c r="J25" s="105"/>
      <c r="K25" s="105"/>
      <c r="M25" s="56"/>
    </row>
    <row r="26" spans="1:13" s="50" customFormat="1" ht="30" customHeight="1" thickBot="1">
      <c r="A26" s="49"/>
      <c r="B26" s="52">
        <v>3</v>
      </c>
      <c r="C26" s="102" t="str">
        <f ca="1">IF(ISBLANK(INDIRECT(ADDRESS(B26*2+2,3))),"",INDIRECT(ADDRESS(B26*2+2,3)))</f>
        <v>Борисенко - Мор</v>
      </c>
      <c r="D26" s="102"/>
      <c r="E26" s="103"/>
      <c r="F26" s="53">
        <v>10</v>
      </c>
      <c r="G26" s="54">
        <v>6</v>
      </c>
      <c r="H26" s="104" t="str">
        <f ca="1">IF(ISBLANK(INDIRECT(ADDRESS(K26*2+2,3))),"",INDIRECT(ADDRESS(K26*2+2,3)))</f>
        <v>Дмитриев - Уразметова</v>
      </c>
      <c r="I26" s="102"/>
      <c r="J26" s="102"/>
      <c r="K26" s="52">
        <v>1</v>
      </c>
      <c r="L26" s="55" t="s">
        <v>5</v>
      </c>
      <c r="M26" s="48">
        <v>4</v>
      </c>
    </row>
    <row r="27" spans="1:13" s="50" customFormat="1" ht="30" customHeight="1" thickBot="1">
      <c r="A27" s="49"/>
      <c r="B27" s="52">
        <v>4</v>
      </c>
      <c r="C27" s="102" t="str">
        <f ca="1">IF(ISBLANK(INDIRECT(ADDRESS(B27*2+2,3))),"",INDIRECT(ADDRESS(B27*2+2,3)))</f>
        <v>Валибуз - Савельева</v>
      </c>
      <c r="D27" s="102"/>
      <c r="E27" s="103"/>
      <c r="F27" s="53">
        <v>3</v>
      </c>
      <c r="G27" s="54">
        <v>10</v>
      </c>
      <c r="H27" s="104" t="str">
        <f ca="1">IF(ISBLANK(INDIRECT(ADDRESS(K27*2+2,3))),"",INDIRECT(ADDRESS(K27*2+2,3)))</f>
        <v>Гелдиев - Костяная</v>
      </c>
      <c r="I27" s="102"/>
      <c r="J27" s="102"/>
      <c r="K27" s="52">
        <v>5</v>
      </c>
      <c r="L27" s="55" t="s">
        <v>5</v>
      </c>
      <c r="M27" s="48">
        <v>12</v>
      </c>
    </row>
    <row r="28" spans="1:13" s="50" customFormat="1" ht="30" customHeight="1">
      <c r="A28" s="49"/>
      <c r="M28" s="56"/>
    </row>
    <row r="29" spans="1:13" s="50" customFormat="1" ht="30" customHeight="1" thickBot="1">
      <c r="A29" s="49"/>
      <c r="B29" s="105" t="s">
        <v>8</v>
      </c>
      <c r="C29" s="105"/>
      <c r="D29" s="105"/>
      <c r="E29" s="105"/>
      <c r="F29" s="105"/>
      <c r="G29" s="105"/>
      <c r="H29" s="105"/>
      <c r="I29" s="105"/>
      <c r="J29" s="105"/>
      <c r="K29" s="105"/>
      <c r="M29" s="56"/>
    </row>
    <row r="30" spans="1:13" s="50" customFormat="1" ht="30" customHeight="1" thickBot="1">
      <c r="A30" s="49"/>
      <c r="B30" s="52">
        <v>1</v>
      </c>
      <c r="C30" s="102" t="str">
        <f ca="1">IF(ISBLANK(INDIRECT(ADDRESS(B30*2+2,3))),"",INDIRECT(ADDRESS(B30*2+2,3)))</f>
        <v>Дмитриев - Уразметова</v>
      </c>
      <c r="D30" s="102"/>
      <c r="E30" s="103"/>
      <c r="F30" s="53">
        <v>4</v>
      </c>
      <c r="G30" s="54">
        <v>13</v>
      </c>
      <c r="H30" s="104" t="str">
        <f ca="1">IF(ISBLANK(INDIRECT(ADDRESS(K30*2+2,3))),"",INDIRECT(ADDRESS(K30*2+2,3)))</f>
        <v>Валибуз - Савельева</v>
      </c>
      <c r="I30" s="102"/>
      <c r="J30" s="102"/>
      <c r="K30" s="52">
        <v>4</v>
      </c>
      <c r="L30" s="55" t="s">
        <v>5</v>
      </c>
      <c r="M30" s="48">
        <v>3</v>
      </c>
    </row>
    <row r="31" spans="1:13" s="50" customFormat="1" ht="30" customHeight="1" thickBot="1">
      <c r="A31" s="49"/>
      <c r="B31" s="52">
        <v>2</v>
      </c>
      <c r="C31" s="102" t="str">
        <f ca="1">IF(ISBLANK(INDIRECT(ADDRESS(B31*2+2,3))),"",INDIRECT(ADDRESS(B31*2+2,3)))</f>
        <v>Капран-Индаяти - Мусина</v>
      </c>
      <c r="D31" s="102"/>
      <c r="E31" s="103"/>
      <c r="F31" s="53">
        <v>9</v>
      </c>
      <c r="G31" s="54">
        <v>7</v>
      </c>
      <c r="H31" s="104" t="str">
        <f ca="1">IF(ISBLANK(INDIRECT(ADDRESS(K31*2+2,3))),"",INDIRECT(ADDRESS(K31*2+2,3)))</f>
        <v>Борисенко - Мор</v>
      </c>
      <c r="I31" s="102"/>
      <c r="J31" s="102"/>
      <c r="K31" s="52">
        <v>3</v>
      </c>
      <c r="L31" s="55" t="s">
        <v>5</v>
      </c>
      <c r="M31" s="48">
        <v>11</v>
      </c>
    </row>
    <row r="32" spans="1:13" s="50" customFormat="1" ht="30" customHeight="1">
      <c r="A32" s="49"/>
      <c r="M32" s="56"/>
    </row>
    <row r="33" spans="1:13" s="50" customFormat="1" ht="30" customHeight="1" thickBot="1">
      <c r="A33" s="49"/>
      <c r="B33" s="105" t="s">
        <v>9</v>
      </c>
      <c r="C33" s="105"/>
      <c r="D33" s="105"/>
      <c r="E33" s="105"/>
      <c r="F33" s="105"/>
      <c r="G33" s="105"/>
      <c r="H33" s="105"/>
      <c r="I33" s="105"/>
      <c r="J33" s="105"/>
      <c r="K33" s="105"/>
      <c r="M33" s="56"/>
    </row>
    <row r="34" spans="1:13" s="50" customFormat="1" ht="30" customHeight="1" thickBot="1">
      <c r="A34" s="49"/>
      <c r="B34" s="52">
        <v>4</v>
      </c>
      <c r="C34" s="102" t="str">
        <f ca="1">IF(ISBLANK(INDIRECT(ADDRESS(B34*2+2,3))),"",INDIRECT(ADDRESS(B34*2+2,3)))</f>
        <v>Валибуз - Савельева</v>
      </c>
      <c r="D34" s="102"/>
      <c r="E34" s="103"/>
      <c r="F34" s="53">
        <v>7</v>
      </c>
      <c r="G34" s="54">
        <v>11</v>
      </c>
      <c r="H34" s="104" t="str">
        <f ca="1">IF(ISBLANK(INDIRECT(ADDRESS(K34*2+2,3))),"",INDIRECT(ADDRESS(K34*2+2,3)))</f>
        <v>Капран-Индаяти - Мусина</v>
      </c>
      <c r="I34" s="102"/>
      <c r="J34" s="102"/>
      <c r="K34" s="52">
        <v>2</v>
      </c>
      <c r="L34" s="55" t="s">
        <v>5</v>
      </c>
      <c r="M34" s="48">
        <v>6</v>
      </c>
    </row>
    <row r="35" spans="1:13" s="50" customFormat="1" ht="30" customHeight="1" thickBot="1">
      <c r="A35" s="49"/>
      <c r="B35" s="52">
        <v>5</v>
      </c>
      <c r="C35" s="102" t="str">
        <f ca="1">IF(ISBLANK(INDIRECT(ADDRESS(B35*2+2,3))),"",INDIRECT(ADDRESS(B35*2+2,3)))</f>
        <v>Гелдиев - Костяная</v>
      </c>
      <c r="D35" s="102"/>
      <c r="E35" s="103"/>
      <c r="F35" s="53">
        <v>10</v>
      </c>
      <c r="G35" s="54">
        <v>5</v>
      </c>
      <c r="H35" s="104" t="str">
        <f ca="1">IF(ISBLANK(INDIRECT(ADDRESS(K35*2+2,3))),"",INDIRECT(ADDRESS(K35*2+2,3)))</f>
        <v>Дмитриев - Уразметова</v>
      </c>
      <c r="I35" s="102"/>
      <c r="J35" s="102"/>
      <c r="K35" s="52">
        <v>1</v>
      </c>
      <c r="L35" s="55" t="s">
        <v>5</v>
      </c>
      <c r="M35" s="48">
        <v>10</v>
      </c>
    </row>
    <row r="39" spans="1:13" ht="21">
      <c r="B39" s="29" t="s">
        <v>29</v>
      </c>
      <c r="C39" s="29"/>
      <c r="D39" s="29"/>
      <c r="E39" s="29"/>
    </row>
    <row r="40" spans="1:13" ht="21">
      <c r="B40" s="29"/>
      <c r="C40" s="29"/>
      <c r="D40" s="29"/>
      <c r="E40" s="29"/>
    </row>
    <row r="41" spans="1:13" ht="21">
      <c r="B41" s="29"/>
      <c r="C41" s="29"/>
      <c r="D41" s="29"/>
      <c r="E41" s="29"/>
    </row>
    <row r="42" spans="1:13" ht="21">
      <c r="B42" s="29" t="s">
        <v>31</v>
      </c>
      <c r="C42" s="29"/>
      <c r="D42" s="29"/>
      <c r="E42" s="29"/>
    </row>
  </sheetData>
  <sheetCalcPr fullCalcOnLoad="1"/>
  <mergeCells count="47">
    <mergeCell ref="B33:K33"/>
    <mergeCell ref="C34:E34"/>
    <mergeCell ref="H34:J34"/>
    <mergeCell ref="C35:E35"/>
    <mergeCell ref="H35:J35"/>
    <mergeCell ref="B1:M1"/>
    <mergeCell ref="C27:E27"/>
    <mergeCell ref="H27:J27"/>
    <mergeCell ref="B29:K29"/>
    <mergeCell ref="B10:B11"/>
    <mergeCell ref="C10:E11"/>
    <mergeCell ref="K10:K11"/>
    <mergeCell ref="M10:M11"/>
    <mergeCell ref="B12:B13"/>
    <mergeCell ref="C12:E13"/>
    <mergeCell ref="B17:K17"/>
    <mergeCell ref="C18:E18"/>
    <mergeCell ref="H18:J18"/>
    <mergeCell ref="C19:E19"/>
    <mergeCell ref="H19:J19"/>
    <mergeCell ref="B21:K21"/>
    <mergeCell ref="H23:J23"/>
    <mergeCell ref="B25:K25"/>
    <mergeCell ref="C26:E26"/>
    <mergeCell ref="H26:J26"/>
    <mergeCell ref="C30:E30"/>
    <mergeCell ref="H30:J30"/>
    <mergeCell ref="M6:M7"/>
    <mergeCell ref="B8:B9"/>
    <mergeCell ref="C8:E9"/>
    <mergeCell ref="K8:K9"/>
    <mergeCell ref="M8:M9"/>
    <mergeCell ref="C31:E31"/>
    <mergeCell ref="H31:J31"/>
    <mergeCell ref="C22:E22"/>
    <mergeCell ref="H22:J22"/>
    <mergeCell ref="C23:E23"/>
    <mergeCell ref="M4:M5"/>
    <mergeCell ref="C3:E3"/>
    <mergeCell ref="B4:B5"/>
    <mergeCell ref="C4:E5"/>
    <mergeCell ref="K4:K5"/>
    <mergeCell ref="K12:K13"/>
    <mergeCell ref="M12:M13"/>
    <mergeCell ref="B6:B7"/>
    <mergeCell ref="C6:E7"/>
    <mergeCell ref="K6:K7"/>
  </mergeCells>
  <phoneticPr fontId="15" type="noConversion"/>
  <printOptions horizontalCentered="1"/>
  <pageMargins left="0.25" right="0.25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7"/>
  <sheetViews>
    <sheetView topLeftCell="A16" zoomScaleNormal="100" workbookViewId="0">
      <selection activeCell="B44" sqref="B44:E47"/>
    </sheetView>
  </sheetViews>
  <sheetFormatPr defaultRowHeight="15" customHeight="1"/>
  <cols>
    <col min="1" max="1" width="9.140625" style="24"/>
    <col min="2" max="16384" width="9.140625" style="23"/>
  </cols>
  <sheetData>
    <row r="1" spans="2:13" ht="75" customHeight="1">
      <c r="B1" s="106" t="s">
        <v>107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2:13" ht="15" customHeight="1">
      <c r="C2" s="26"/>
    </row>
    <row r="3" spans="2:13" ht="15" customHeight="1">
      <c r="C3" s="26"/>
    </row>
    <row r="4" spans="2:13" ht="15" customHeight="1">
      <c r="B4" s="112" t="s">
        <v>38</v>
      </c>
      <c r="C4" s="113"/>
      <c r="D4" s="57">
        <v>9</v>
      </c>
      <c r="E4" s="58"/>
    </row>
    <row r="5" spans="2:13" ht="15" customHeight="1">
      <c r="C5" s="26"/>
      <c r="E5" s="59"/>
    </row>
    <row r="6" spans="2:13" ht="15" customHeight="1">
      <c r="B6" s="22" t="s">
        <v>5</v>
      </c>
      <c r="C6" s="26">
        <v>1</v>
      </c>
      <c r="E6" s="60"/>
      <c r="F6" s="111" t="str">
        <f>IF(ISBLANK(D4),"",IF(D4&gt;D8,B4,B8))</f>
        <v>Чугунов - Семченкова</v>
      </c>
      <c r="G6" s="113"/>
      <c r="H6" s="57">
        <v>6</v>
      </c>
      <c r="I6" s="58"/>
    </row>
    <row r="7" spans="2:13" ht="15" customHeight="1">
      <c r="C7" s="26"/>
      <c r="E7" s="60"/>
      <c r="I7" s="59"/>
    </row>
    <row r="8" spans="2:13" ht="15" customHeight="1">
      <c r="B8" s="112" t="s">
        <v>53</v>
      </c>
      <c r="C8" s="113"/>
      <c r="D8" s="57">
        <v>8</v>
      </c>
      <c r="E8" s="61"/>
      <c r="I8" s="60"/>
    </row>
    <row r="9" spans="2:13" ht="15" customHeight="1">
      <c r="C9" s="26"/>
      <c r="I9" s="60"/>
    </row>
    <row r="10" spans="2:13" ht="15" customHeight="1">
      <c r="C10" s="26"/>
      <c r="G10" s="22" t="s">
        <v>5</v>
      </c>
      <c r="H10" s="26">
        <v>2</v>
      </c>
      <c r="I10" s="60"/>
      <c r="J10" s="111" t="str">
        <f>IF(ISBLANK(H6),"",IF(H6&gt;H14,F6,F14))</f>
        <v>Лукин - Фёдорова</v>
      </c>
      <c r="K10" s="112"/>
      <c r="L10" s="57">
        <v>5</v>
      </c>
      <c r="M10" s="58"/>
    </row>
    <row r="11" spans="2:13" ht="15" customHeight="1">
      <c r="C11" s="26"/>
      <c r="I11" s="60"/>
      <c r="M11" s="59"/>
    </row>
    <row r="12" spans="2:13" ht="15" customHeight="1">
      <c r="B12" s="112" t="s">
        <v>41</v>
      </c>
      <c r="C12" s="113"/>
      <c r="D12" s="57">
        <v>6</v>
      </c>
      <c r="E12" s="58"/>
      <c r="I12" s="60"/>
      <c r="M12" s="60"/>
    </row>
    <row r="13" spans="2:13" ht="15" customHeight="1">
      <c r="C13" s="26"/>
      <c r="E13" s="59"/>
      <c r="I13" s="60"/>
      <c r="M13" s="60"/>
    </row>
    <row r="14" spans="2:13" ht="15" customHeight="1">
      <c r="B14" s="22" t="s">
        <v>5</v>
      </c>
      <c r="C14" s="26">
        <v>3</v>
      </c>
      <c r="E14" s="60"/>
      <c r="F14" s="111" t="str">
        <f>IF(ISBLANK(D12),"",IF(D12&gt;D16,B12,B16))</f>
        <v>Лукин - Фёдорова</v>
      </c>
      <c r="G14" s="113"/>
      <c r="H14" s="57">
        <v>9</v>
      </c>
      <c r="I14" s="61"/>
      <c r="M14" s="60"/>
    </row>
    <row r="15" spans="2:13" ht="15" customHeight="1">
      <c r="E15" s="60"/>
      <c r="M15" s="60"/>
    </row>
    <row r="16" spans="2:13" ht="15" customHeight="1">
      <c r="B16" s="112" t="s">
        <v>45</v>
      </c>
      <c r="C16" s="113"/>
      <c r="D16" s="57">
        <v>8</v>
      </c>
      <c r="E16" s="61"/>
      <c r="M16" s="60"/>
    </row>
    <row r="17" spans="2:15" ht="15" customHeight="1">
      <c r="M17" s="60"/>
    </row>
    <row r="18" spans="2:15" ht="15" customHeight="1">
      <c r="B18" s="22"/>
      <c r="K18" s="22" t="s">
        <v>5</v>
      </c>
      <c r="L18" s="26">
        <v>5</v>
      </c>
      <c r="M18" s="60"/>
      <c r="N18" s="111" t="str">
        <f>IF(ISBLANK(L10),"",IF(L10&gt;L26,J10,J26))</f>
        <v>Капран-Индаяти - Мусина</v>
      </c>
      <c r="O18" s="112"/>
    </row>
    <row r="19" spans="2:15" ht="15" customHeight="1">
      <c r="M19" s="60"/>
    </row>
    <row r="20" spans="2:15" ht="15" customHeight="1">
      <c r="B20" s="112" t="s">
        <v>50</v>
      </c>
      <c r="C20" s="113"/>
      <c r="D20" s="57">
        <v>13</v>
      </c>
      <c r="E20" s="58"/>
      <c r="M20" s="60"/>
    </row>
    <row r="21" spans="2:15" ht="15" customHeight="1">
      <c r="E21" s="59"/>
      <c r="M21" s="60"/>
    </row>
    <row r="22" spans="2:15" ht="15" customHeight="1">
      <c r="B22" s="22" t="s">
        <v>5</v>
      </c>
      <c r="C22" s="26">
        <v>5</v>
      </c>
      <c r="E22" s="60"/>
      <c r="F22" s="111" t="str">
        <f>IF(ISBLANK(D20),"",IF(D20&gt;D24,B20,B24))</f>
        <v>Капран-Индаяти - Мусина</v>
      </c>
      <c r="G22" s="113"/>
      <c r="H22" s="57">
        <v>12</v>
      </c>
      <c r="I22" s="58"/>
      <c r="M22" s="60"/>
    </row>
    <row r="23" spans="2:15" ht="15" customHeight="1">
      <c r="E23" s="60"/>
      <c r="I23" s="59"/>
      <c r="M23" s="60"/>
    </row>
    <row r="24" spans="2:15" ht="15" customHeight="1">
      <c r="B24" s="112" t="s">
        <v>35</v>
      </c>
      <c r="C24" s="113"/>
      <c r="D24" s="57">
        <v>3</v>
      </c>
      <c r="E24" s="61"/>
      <c r="I24" s="60"/>
      <c r="M24" s="60"/>
    </row>
    <row r="25" spans="2:15" ht="15" customHeight="1">
      <c r="I25" s="60"/>
      <c r="M25" s="60"/>
    </row>
    <row r="26" spans="2:15" ht="15" customHeight="1">
      <c r="G26" s="22" t="s">
        <v>5</v>
      </c>
      <c r="H26" s="26">
        <v>4</v>
      </c>
      <c r="I26" s="60"/>
      <c r="J26" s="111" t="str">
        <f>IF(ISBLANK(H22),"",IF(H22&gt;H30,F22,F30))</f>
        <v>Капран-Индаяти - Мусина</v>
      </c>
      <c r="K26" s="113"/>
      <c r="L26" s="57">
        <v>13</v>
      </c>
      <c r="M26" s="61"/>
    </row>
    <row r="27" spans="2:15" ht="15" customHeight="1">
      <c r="I27" s="60"/>
    </row>
    <row r="28" spans="2:15" ht="15" customHeight="1">
      <c r="B28" s="112" t="s">
        <v>47</v>
      </c>
      <c r="C28" s="113"/>
      <c r="D28" s="57">
        <v>3</v>
      </c>
      <c r="E28" s="58"/>
      <c r="I28" s="60"/>
    </row>
    <row r="29" spans="2:15" ht="15" customHeight="1">
      <c r="E29" s="59"/>
      <c r="I29" s="60"/>
    </row>
    <row r="30" spans="2:15" ht="15" customHeight="1">
      <c r="B30" s="22" t="s">
        <v>5</v>
      </c>
      <c r="C30" s="26">
        <v>7</v>
      </c>
      <c r="E30" s="60"/>
      <c r="F30" s="111" t="str">
        <f>IF(ISBLANK(D28),"",IF(D28&gt;D32,B28,B32))</f>
        <v>Анухин - Лукина</v>
      </c>
      <c r="G30" s="113"/>
      <c r="H30" s="57">
        <v>2</v>
      </c>
      <c r="I30" s="61"/>
    </row>
    <row r="31" spans="2:15" ht="15" customHeight="1">
      <c r="E31" s="60"/>
    </row>
    <row r="32" spans="2:15" ht="15" customHeight="1">
      <c r="B32" s="112" t="s">
        <v>40</v>
      </c>
      <c r="C32" s="113"/>
      <c r="D32" s="57">
        <v>8</v>
      </c>
      <c r="E32" s="61"/>
    </row>
    <row r="36" spans="2:7" ht="15" customHeight="1">
      <c r="B36" s="112" t="str">
        <f>IF(ISBLANK(H6),"",IF(H6&gt;H14,F14,F6))</f>
        <v>Чугунов - Семченкова</v>
      </c>
      <c r="C36" s="113"/>
      <c r="D36" s="57">
        <v>5</v>
      </c>
      <c r="E36" s="58"/>
      <c r="F36" s="114"/>
      <c r="G36" s="114"/>
    </row>
    <row r="37" spans="2:7" ht="15" customHeight="1">
      <c r="E37" s="59"/>
    </row>
    <row r="38" spans="2:7" ht="15" customHeight="1">
      <c r="C38" s="22" t="s">
        <v>5</v>
      </c>
      <c r="D38" s="23">
        <v>1</v>
      </c>
      <c r="E38" s="60"/>
      <c r="F38" s="111" t="str">
        <f>IF(ISBLANK(D36),"",IF(D36&gt;D40,B36,B40))</f>
        <v>Анухин - Лукина</v>
      </c>
      <c r="G38" s="112"/>
    </row>
    <row r="39" spans="2:7" ht="15" customHeight="1">
      <c r="E39" s="60"/>
    </row>
    <row r="40" spans="2:7" ht="15" customHeight="1">
      <c r="B40" s="112" t="str">
        <f>IF(ISBLANK(H22),"",IF(H22&gt;H30,F30,F22))</f>
        <v>Анухин - Лукина</v>
      </c>
      <c r="C40" s="113"/>
      <c r="D40" s="57">
        <v>13</v>
      </c>
      <c r="E40" s="61"/>
    </row>
    <row r="44" spans="2:7" ht="15" customHeight="1">
      <c r="B44" s="29" t="s">
        <v>29</v>
      </c>
      <c r="C44" s="29"/>
      <c r="D44" s="29"/>
      <c r="E44" s="29"/>
    </row>
    <row r="45" spans="2:7" ht="15" customHeight="1">
      <c r="B45" s="29"/>
      <c r="C45" s="29"/>
      <c r="D45" s="29"/>
      <c r="E45" s="29"/>
    </row>
    <row r="46" spans="2:7" ht="15" customHeight="1">
      <c r="B46" s="29"/>
      <c r="C46" s="29"/>
      <c r="D46" s="29"/>
      <c r="E46" s="29"/>
    </row>
    <row r="47" spans="2:7" ht="15" customHeight="1">
      <c r="B47" s="29" t="s">
        <v>31</v>
      </c>
      <c r="C47" s="29"/>
      <c r="D47" s="29"/>
      <c r="E47" s="29"/>
    </row>
  </sheetData>
  <mergeCells count="20">
    <mergeCell ref="B36:C36"/>
    <mergeCell ref="F36:G36"/>
    <mergeCell ref="F14:G14"/>
    <mergeCell ref="N18:O18"/>
    <mergeCell ref="B20:C20"/>
    <mergeCell ref="F22:G22"/>
    <mergeCell ref="F38:G38"/>
    <mergeCell ref="B40:C40"/>
    <mergeCell ref="B1:M1"/>
    <mergeCell ref="J26:K26"/>
    <mergeCell ref="B28:C28"/>
    <mergeCell ref="F30:G30"/>
    <mergeCell ref="B32:C32"/>
    <mergeCell ref="J10:K10"/>
    <mergeCell ref="B12:C12"/>
    <mergeCell ref="B24:C24"/>
    <mergeCell ref="B4:C4"/>
    <mergeCell ref="F6:G6"/>
    <mergeCell ref="B8:C8"/>
    <mergeCell ref="B16:C16"/>
  </mergeCells>
  <phoneticPr fontId="15" type="noConversion"/>
  <pageMargins left="0.25" right="0.25" top="0.75" bottom="0.75" header="0.3" footer="0.3"/>
  <pageSetup paperSize="9" scale="7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workbookViewId="0">
      <selection activeCell="B28" sqref="B28:E31"/>
    </sheetView>
  </sheetViews>
  <sheetFormatPr defaultRowHeight="15" customHeight="1"/>
  <cols>
    <col min="1" max="1" width="9.140625" style="24"/>
    <col min="2" max="16384" width="9.140625" style="23"/>
  </cols>
  <sheetData>
    <row r="1" spans="2:13" ht="75" customHeight="1">
      <c r="B1" s="106" t="s">
        <v>108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2:13" ht="15" customHeight="1">
      <c r="C2" s="26"/>
    </row>
    <row r="3" spans="2:13" ht="15" customHeight="1">
      <c r="C3" s="26"/>
    </row>
    <row r="4" spans="2:13" ht="15" customHeight="1">
      <c r="B4" s="112" t="s">
        <v>53</v>
      </c>
      <c r="C4" s="113"/>
      <c r="D4" s="57">
        <v>3</v>
      </c>
      <c r="E4" s="58"/>
    </row>
    <row r="5" spans="2:13" ht="15" customHeight="1">
      <c r="C5" s="26"/>
      <c r="E5" s="59"/>
    </row>
    <row r="6" spans="2:13" ht="15" customHeight="1">
      <c r="B6" s="22" t="s">
        <v>5</v>
      </c>
      <c r="C6" s="26">
        <v>8</v>
      </c>
      <c r="E6" s="60"/>
      <c r="F6" s="111" t="str">
        <f>IF(ISBLANK(D4),"",IF(D4&gt;D8,B4,B8))</f>
        <v>Шустваль - Дегтярёва Л.</v>
      </c>
      <c r="G6" s="113"/>
      <c r="H6" s="57">
        <v>13</v>
      </c>
      <c r="I6" s="58"/>
    </row>
    <row r="7" spans="2:13" ht="15" customHeight="1">
      <c r="C7" s="26"/>
      <c r="E7" s="60"/>
      <c r="I7" s="59"/>
    </row>
    <row r="8" spans="2:13" ht="15" customHeight="1">
      <c r="B8" s="112" t="s">
        <v>41</v>
      </c>
      <c r="C8" s="113"/>
      <c r="D8" s="57">
        <v>10</v>
      </c>
      <c r="E8" s="61"/>
      <c r="I8" s="60"/>
    </row>
    <row r="9" spans="2:13" ht="15" customHeight="1">
      <c r="C9" s="26"/>
      <c r="I9" s="60"/>
    </row>
    <row r="10" spans="2:13" ht="15" customHeight="1">
      <c r="C10" s="26"/>
      <c r="G10" s="22" t="s">
        <v>5</v>
      </c>
      <c r="H10" s="26">
        <v>11</v>
      </c>
      <c r="I10" s="60"/>
      <c r="J10" s="111" t="str">
        <f>IF(ISBLANK(H6),"",IF(H6&gt;H14,F6,F14))</f>
        <v>Шустваль - Дегтярёва Л.</v>
      </c>
      <c r="K10" s="112"/>
      <c r="L10" s="62"/>
    </row>
    <row r="11" spans="2:13" ht="15" customHeight="1">
      <c r="C11" s="26"/>
      <c r="I11" s="60"/>
    </row>
    <row r="12" spans="2:13" ht="15" customHeight="1">
      <c r="B12" s="112" t="s">
        <v>35</v>
      </c>
      <c r="C12" s="113"/>
      <c r="D12" s="57">
        <v>0</v>
      </c>
      <c r="E12" s="58"/>
      <c r="I12" s="60"/>
    </row>
    <row r="13" spans="2:13" ht="15" customHeight="1">
      <c r="C13" s="26"/>
      <c r="E13" s="59"/>
      <c r="I13" s="60"/>
    </row>
    <row r="14" spans="2:13" ht="15" customHeight="1">
      <c r="B14" s="22" t="s">
        <v>5</v>
      </c>
      <c r="C14" s="26">
        <v>6</v>
      </c>
      <c r="E14" s="60"/>
      <c r="F14" s="111" t="str">
        <f>IF(ISBLANK(D12),"",IF(D12&gt;D16,B12,B16))</f>
        <v>Викторов - Дегтярёва М.</v>
      </c>
      <c r="G14" s="113"/>
      <c r="H14" s="57">
        <v>4</v>
      </c>
      <c r="I14" s="61"/>
    </row>
    <row r="15" spans="2:13" ht="15" customHeight="1">
      <c r="E15" s="60"/>
    </row>
    <row r="16" spans="2:13" ht="15" customHeight="1">
      <c r="B16" s="112" t="s">
        <v>47</v>
      </c>
      <c r="C16" s="113"/>
      <c r="D16" s="57">
        <v>13</v>
      </c>
      <c r="E16" s="61"/>
    </row>
    <row r="20" spans="2:7" ht="15" customHeight="1">
      <c r="B20" s="112" t="str">
        <f>IF(ISBLANK(D4),"",IF(D4&gt;D8,B8,B4))</f>
        <v>Гелдиев - Костяная</v>
      </c>
      <c r="C20" s="113"/>
      <c r="D20" s="57">
        <v>12</v>
      </c>
      <c r="E20" s="58"/>
      <c r="F20" s="114"/>
      <c r="G20" s="114"/>
    </row>
    <row r="21" spans="2:7" ht="15" customHeight="1">
      <c r="E21" s="59"/>
    </row>
    <row r="22" spans="2:7" ht="15" customHeight="1">
      <c r="B22" s="22" t="s">
        <v>5</v>
      </c>
      <c r="C22" s="26">
        <v>7</v>
      </c>
      <c r="E22" s="60"/>
      <c r="F22" s="111" t="str">
        <f>IF(ISBLANK(D20),"",IF(D20&gt;D24,B20,B24))</f>
        <v>Гелдиев - Костяная</v>
      </c>
      <c r="G22" s="112"/>
    </row>
    <row r="23" spans="2:7" ht="15" customHeight="1">
      <c r="E23" s="60"/>
    </row>
    <row r="24" spans="2:7" ht="15" customHeight="1">
      <c r="B24" s="112" t="str">
        <f>IF(ISBLANK(D12),"",IF(D12&gt;D16,B16,B12))</f>
        <v>Нечаев - Кочетова</v>
      </c>
      <c r="C24" s="113"/>
      <c r="D24" s="57">
        <v>11</v>
      </c>
      <c r="E24" s="61"/>
    </row>
    <row r="28" spans="2:7" ht="15" customHeight="1">
      <c r="B28" s="29" t="s">
        <v>29</v>
      </c>
      <c r="C28" s="29"/>
      <c r="D28" s="29"/>
      <c r="E28" s="29"/>
    </row>
    <row r="29" spans="2:7" ht="15" customHeight="1">
      <c r="B29" s="29"/>
      <c r="C29" s="29"/>
      <c r="D29" s="29"/>
      <c r="E29" s="29"/>
    </row>
    <row r="30" spans="2:7" ht="15" customHeight="1">
      <c r="B30" s="29"/>
      <c r="C30" s="29"/>
      <c r="D30" s="29"/>
      <c r="E30" s="29"/>
    </row>
    <row r="31" spans="2:7" ht="15" customHeight="1">
      <c r="B31" s="29" t="s">
        <v>31</v>
      </c>
      <c r="C31" s="29"/>
      <c r="D31" s="29"/>
      <c r="E31" s="29"/>
    </row>
  </sheetData>
  <mergeCells count="12">
    <mergeCell ref="B16:C16"/>
    <mergeCell ref="B20:C20"/>
    <mergeCell ref="F20:G20"/>
    <mergeCell ref="F22:G22"/>
    <mergeCell ref="B1:M1"/>
    <mergeCell ref="B24:C24"/>
    <mergeCell ref="B4:C4"/>
    <mergeCell ref="F6:G6"/>
    <mergeCell ref="B8:C8"/>
    <mergeCell ref="J10:K10"/>
    <mergeCell ref="B12:C12"/>
    <mergeCell ref="F14:G1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7"/>
  <sheetViews>
    <sheetView topLeftCell="A7" zoomScaleNormal="100" workbookViewId="0">
      <selection activeCell="H50" sqref="H50"/>
    </sheetView>
  </sheetViews>
  <sheetFormatPr defaultRowHeight="15" customHeight="1"/>
  <cols>
    <col min="1" max="1" width="9.140625" style="24"/>
    <col min="2" max="16384" width="9.140625" style="23"/>
  </cols>
  <sheetData>
    <row r="1" spans="2:13" ht="77.25" customHeight="1">
      <c r="B1" s="106" t="s">
        <v>109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2:13" ht="15" customHeight="1">
      <c r="C2" s="26"/>
    </row>
    <row r="3" spans="2:13" ht="15" customHeight="1">
      <c r="C3" s="26"/>
    </row>
    <row r="4" spans="2:13" ht="15" customHeight="1">
      <c r="B4" s="112" t="s">
        <v>37</v>
      </c>
      <c r="C4" s="113"/>
      <c r="D4" s="57">
        <v>7</v>
      </c>
      <c r="E4" s="58"/>
    </row>
    <row r="5" spans="2:13" ht="15" customHeight="1">
      <c r="C5" s="26"/>
      <c r="E5" s="59"/>
    </row>
    <row r="6" spans="2:13" ht="15" customHeight="1">
      <c r="B6" s="22" t="s">
        <v>5</v>
      </c>
      <c r="C6" s="26">
        <v>9</v>
      </c>
      <c r="E6" s="60"/>
      <c r="F6" s="111" t="str">
        <f>IF(ISBLANK(D4),"",IF(D4&gt;D8,B4,B8))</f>
        <v>Борисенко - Мор</v>
      </c>
      <c r="G6" s="113"/>
      <c r="H6" s="57">
        <v>12</v>
      </c>
      <c r="I6" s="58"/>
    </row>
    <row r="7" spans="2:13" ht="15" customHeight="1">
      <c r="C7" s="26"/>
      <c r="E7" s="60"/>
      <c r="I7" s="59"/>
    </row>
    <row r="8" spans="2:13" ht="15" customHeight="1">
      <c r="B8" s="112" t="s">
        <v>51</v>
      </c>
      <c r="C8" s="113"/>
      <c r="D8" s="57">
        <v>13</v>
      </c>
      <c r="E8" s="61"/>
      <c r="I8" s="60"/>
    </row>
    <row r="9" spans="2:13" ht="15" customHeight="1">
      <c r="C9" s="26"/>
      <c r="I9" s="60"/>
    </row>
    <row r="10" spans="2:13" ht="15" customHeight="1">
      <c r="C10" s="26"/>
      <c r="G10" s="22" t="s">
        <v>5</v>
      </c>
      <c r="H10" s="26">
        <v>12</v>
      </c>
      <c r="I10" s="60"/>
      <c r="J10" s="111" t="str">
        <f>IF(ISBLANK(H6),"",IF(H6&gt;H14,F6,F14))</f>
        <v>Аваков - Кукушкина</v>
      </c>
      <c r="K10" s="112"/>
      <c r="L10" s="57">
        <v>1</v>
      </c>
      <c r="M10" s="58"/>
    </row>
    <row r="11" spans="2:13" ht="15" customHeight="1">
      <c r="C11" s="26"/>
      <c r="I11" s="60"/>
      <c r="M11" s="59"/>
    </row>
    <row r="12" spans="2:13" ht="15" customHeight="1">
      <c r="B12" s="112" t="s">
        <v>54</v>
      </c>
      <c r="C12" s="113"/>
      <c r="D12" s="57">
        <v>7</v>
      </c>
      <c r="E12" s="58"/>
      <c r="I12" s="60"/>
      <c r="M12" s="60"/>
    </row>
    <row r="13" spans="2:13" ht="15" customHeight="1">
      <c r="C13" s="26"/>
      <c r="E13" s="59"/>
      <c r="I13" s="60"/>
      <c r="M13" s="60"/>
    </row>
    <row r="14" spans="2:13" ht="15" customHeight="1">
      <c r="B14" s="22" t="s">
        <v>5</v>
      </c>
      <c r="C14" s="26">
        <v>11</v>
      </c>
      <c r="E14" s="60"/>
      <c r="F14" s="111" t="str">
        <f>IF(ISBLANK(D12),"",IF(D12&gt;D16,B12,B16))</f>
        <v>Аваков - Кукушкина</v>
      </c>
      <c r="G14" s="113"/>
      <c r="H14" s="57">
        <v>13</v>
      </c>
      <c r="I14" s="61"/>
      <c r="M14" s="60"/>
    </row>
    <row r="15" spans="2:13" ht="15" customHeight="1">
      <c r="E15" s="60"/>
      <c r="M15" s="60"/>
    </row>
    <row r="16" spans="2:13" ht="15" customHeight="1">
      <c r="B16" s="112" t="s">
        <v>48</v>
      </c>
      <c r="C16" s="113"/>
      <c r="D16" s="57">
        <v>13</v>
      </c>
      <c r="E16" s="61"/>
      <c r="M16" s="60"/>
    </row>
    <row r="17" spans="2:15" ht="15" customHeight="1">
      <c r="M17" s="60"/>
    </row>
    <row r="18" spans="2:15" ht="15" customHeight="1">
      <c r="B18" s="22"/>
      <c r="K18" s="22" t="s">
        <v>5</v>
      </c>
      <c r="L18" s="26">
        <v>13</v>
      </c>
      <c r="M18" s="60"/>
      <c r="N18" s="111" t="str">
        <f>IF(ISBLANK(L10),"",IF(L10&gt;L26,J10,J26))</f>
        <v xml:space="preserve">Соколовский - Сапронова </v>
      </c>
      <c r="O18" s="112"/>
    </row>
    <row r="19" spans="2:15" ht="15" customHeight="1">
      <c r="M19" s="60"/>
    </row>
    <row r="20" spans="2:15" ht="15" customHeight="1">
      <c r="B20" s="112" t="s">
        <v>52</v>
      </c>
      <c r="C20" s="113"/>
      <c r="D20" s="57">
        <v>6</v>
      </c>
      <c r="E20" s="58"/>
      <c r="M20" s="60"/>
    </row>
    <row r="21" spans="2:15" ht="15" customHeight="1">
      <c r="E21" s="59"/>
      <c r="M21" s="60"/>
    </row>
    <row r="22" spans="2:15" ht="15" customHeight="1">
      <c r="B22" s="22" t="s">
        <v>5</v>
      </c>
      <c r="C22" s="26">
        <v>4</v>
      </c>
      <c r="E22" s="60"/>
      <c r="F22" s="111" t="str">
        <f>IF(ISBLANK(D20),"",IF(D20&gt;D24,B20,B24))</f>
        <v>Ерёмин - Балашова</v>
      </c>
      <c r="G22" s="113"/>
      <c r="H22" s="57">
        <v>6</v>
      </c>
      <c r="I22" s="58"/>
      <c r="M22" s="60"/>
    </row>
    <row r="23" spans="2:15" ht="15" customHeight="1">
      <c r="E23" s="60"/>
      <c r="I23" s="59"/>
      <c r="M23" s="60"/>
    </row>
    <row r="24" spans="2:15" ht="15" customHeight="1">
      <c r="B24" s="112" t="s">
        <v>36</v>
      </c>
      <c r="C24" s="113"/>
      <c r="D24" s="57">
        <v>12</v>
      </c>
      <c r="E24" s="61"/>
      <c r="I24" s="60"/>
      <c r="M24" s="60"/>
    </row>
    <row r="25" spans="2:15" ht="15" customHeight="1">
      <c r="I25" s="60"/>
      <c r="M25" s="60"/>
    </row>
    <row r="26" spans="2:15" ht="15" customHeight="1">
      <c r="G26" s="22" t="s">
        <v>5</v>
      </c>
      <c r="H26" s="26">
        <v>10</v>
      </c>
      <c r="I26" s="60"/>
      <c r="J26" s="111" t="str">
        <f>IF(ISBLANK(H22),"",IF(H22&gt;H30,F22,F30))</f>
        <v xml:space="preserve">Соколовский - Сапронова </v>
      </c>
      <c r="K26" s="113"/>
      <c r="L26" s="57">
        <v>13</v>
      </c>
      <c r="M26" s="61"/>
    </row>
    <row r="27" spans="2:15" ht="15" customHeight="1">
      <c r="I27" s="60"/>
    </row>
    <row r="28" spans="2:15" ht="15" customHeight="1">
      <c r="B28" s="112" t="s">
        <v>55</v>
      </c>
      <c r="C28" s="113"/>
      <c r="D28" s="57">
        <v>9</v>
      </c>
      <c r="E28" s="58"/>
      <c r="I28" s="60"/>
    </row>
    <row r="29" spans="2:15" ht="15" customHeight="1">
      <c r="E29" s="59"/>
      <c r="I29" s="60"/>
    </row>
    <row r="30" spans="2:15" ht="15" customHeight="1">
      <c r="B30" s="22" t="s">
        <v>5</v>
      </c>
      <c r="C30" s="26">
        <v>10</v>
      </c>
      <c r="E30" s="60"/>
      <c r="F30" s="111" t="str">
        <f>IF(ISBLANK(D28),"",IF(D28&gt;D32,B28,B32))</f>
        <v xml:space="preserve">Соколовский - Сапронова </v>
      </c>
      <c r="G30" s="113"/>
      <c r="H30" s="57">
        <v>9</v>
      </c>
      <c r="I30" s="61"/>
    </row>
    <row r="31" spans="2:15" ht="15" customHeight="1">
      <c r="E31" s="60"/>
    </row>
    <row r="32" spans="2:15" ht="15" customHeight="1">
      <c r="B32" s="112" t="s">
        <v>43</v>
      </c>
      <c r="C32" s="113"/>
      <c r="D32" s="57">
        <v>8</v>
      </c>
      <c r="E32" s="61"/>
    </row>
    <row r="36" spans="2:7" ht="15" customHeight="1">
      <c r="B36" s="112" t="str">
        <f>IF(ISBLANK(H6),"",IF(H6&gt;H14,F14,F6))</f>
        <v>Борисенко - Мор</v>
      </c>
      <c r="C36" s="113"/>
      <c r="D36" s="57">
        <v>3</v>
      </c>
      <c r="E36" s="58"/>
      <c r="F36" s="114"/>
      <c r="G36" s="114"/>
    </row>
    <row r="37" spans="2:7" ht="15" customHeight="1">
      <c r="E37" s="59"/>
    </row>
    <row r="38" spans="2:7" ht="15" customHeight="1">
      <c r="B38" s="22" t="s">
        <v>5</v>
      </c>
      <c r="C38" s="26">
        <v>9</v>
      </c>
      <c r="E38" s="60"/>
      <c r="F38" s="111" t="str">
        <f>IF(ISBLANK(D36),"",IF(D36&gt;D40,B36,B40))</f>
        <v>Ерёмин - Балашова</v>
      </c>
      <c r="G38" s="112"/>
    </row>
    <row r="39" spans="2:7" ht="15" customHeight="1">
      <c r="E39" s="60"/>
    </row>
    <row r="40" spans="2:7" ht="15" customHeight="1">
      <c r="B40" s="112" t="str">
        <f>IF(ISBLANK(H22),"",IF(H22&gt;H30,F30,F22))</f>
        <v>Ерёмин - Балашова</v>
      </c>
      <c r="C40" s="113"/>
      <c r="D40" s="57">
        <v>13</v>
      </c>
      <c r="E40" s="61"/>
    </row>
    <row r="44" spans="2:7" ht="15" customHeight="1">
      <c r="B44" s="29" t="s">
        <v>29</v>
      </c>
      <c r="C44" s="29"/>
      <c r="D44" s="29"/>
      <c r="E44" s="29"/>
    </row>
    <row r="45" spans="2:7" ht="15" customHeight="1">
      <c r="B45" s="29"/>
      <c r="C45" s="29"/>
      <c r="D45" s="29"/>
      <c r="E45" s="29"/>
    </row>
    <row r="46" spans="2:7" ht="15" customHeight="1">
      <c r="B46" s="29"/>
      <c r="C46" s="29"/>
      <c r="D46" s="29"/>
      <c r="E46" s="29"/>
    </row>
    <row r="47" spans="2:7" ht="15" customHeight="1">
      <c r="B47" s="29" t="s">
        <v>31</v>
      </c>
      <c r="C47" s="29"/>
      <c r="D47" s="29"/>
      <c r="E47" s="29"/>
    </row>
  </sheetData>
  <mergeCells count="20">
    <mergeCell ref="N18:O18"/>
    <mergeCell ref="B20:C20"/>
    <mergeCell ref="F22:G22"/>
    <mergeCell ref="F38:G38"/>
    <mergeCell ref="B24:C24"/>
    <mergeCell ref="B40:C40"/>
    <mergeCell ref="J26:K26"/>
    <mergeCell ref="B28:C28"/>
    <mergeCell ref="F30:G30"/>
    <mergeCell ref="B32:C32"/>
    <mergeCell ref="B36:C36"/>
    <mergeCell ref="F36:G36"/>
    <mergeCell ref="J10:K10"/>
    <mergeCell ref="B12:C12"/>
    <mergeCell ref="F14:G14"/>
    <mergeCell ref="B16:C16"/>
    <mergeCell ref="B1:M1"/>
    <mergeCell ref="B4:C4"/>
    <mergeCell ref="F6:G6"/>
    <mergeCell ref="B8:C8"/>
  </mergeCells>
  <phoneticPr fontId="15" type="noConversion"/>
  <pageMargins left="0.25" right="0.25" top="0.75" bottom="0.75" header="0.3" footer="0.3"/>
  <pageSetup paperSize="9" scale="78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workbookViewId="0">
      <selection activeCell="B28" sqref="B28:E31"/>
    </sheetView>
  </sheetViews>
  <sheetFormatPr defaultRowHeight="15" customHeight="1"/>
  <cols>
    <col min="1" max="1" width="9.140625" style="24"/>
    <col min="2" max="16384" width="9.140625" style="23"/>
  </cols>
  <sheetData>
    <row r="1" spans="2:13" ht="74.25" customHeight="1">
      <c r="B1" s="106" t="s">
        <v>110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2:13" ht="15" customHeight="1">
      <c r="C2" s="26"/>
    </row>
    <row r="3" spans="2:13" ht="15" customHeight="1">
      <c r="C3" s="26"/>
    </row>
    <row r="4" spans="2:13" ht="15" customHeight="1">
      <c r="B4" s="112" t="s">
        <v>37</v>
      </c>
      <c r="C4" s="113"/>
      <c r="D4" s="57">
        <v>7</v>
      </c>
      <c r="E4" s="58"/>
    </row>
    <row r="5" spans="2:13" ht="15" customHeight="1">
      <c r="C5" s="26"/>
      <c r="E5" s="59"/>
    </row>
    <row r="6" spans="2:13" ht="15" customHeight="1">
      <c r="B6" s="22" t="s">
        <v>5</v>
      </c>
      <c r="C6" s="26">
        <v>3</v>
      </c>
      <c r="E6" s="60"/>
      <c r="F6" s="111" t="str">
        <f>IF(ISBLANK(D4),"",IF(D4&gt;D8,B4,B8))</f>
        <v>Валибуз - Савельева</v>
      </c>
      <c r="G6" s="113"/>
      <c r="H6" s="57">
        <v>10</v>
      </c>
      <c r="I6" s="58"/>
    </row>
    <row r="7" spans="2:13" ht="15" customHeight="1">
      <c r="C7" s="26"/>
      <c r="E7" s="60"/>
      <c r="I7" s="59"/>
    </row>
    <row r="8" spans="2:13" ht="15" customHeight="1">
      <c r="B8" s="112" t="s">
        <v>52</v>
      </c>
      <c r="C8" s="113"/>
      <c r="D8" s="57">
        <v>13</v>
      </c>
      <c r="E8" s="61"/>
      <c r="I8" s="60"/>
    </row>
    <row r="9" spans="2:13" ht="15" customHeight="1">
      <c r="C9" s="26"/>
      <c r="I9" s="60"/>
    </row>
    <row r="10" spans="2:13" ht="15" customHeight="1">
      <c r="C10" s="26"/>
      <c r="G10" s="22" t="s">
        <v>5</v>
      </c>
      <c r="H10" s="26">
        <v>1</v>
      </c>
      <c r="I10" s="60"/>
      <c r="J10" s="111" t="str">
        <f>IF(ISBLANK(H6),"",IF(H6&gt;H14,F6,F14))</f>
        <v>Валибуз - Савельева</v>
      </c>
      <c r="K10" s="112"/>
      <c r="L10" s="62"/>
    </row>
    <row r="11" spans="2:13" ht="15" customHeight="1">
      <c r="C11" s="26"/>
      <c r="I11" s="60"/>
    </row>
    <row r="12" spans="2:13" ht="15" customHeight="1">
      <c r="B12" s="112" t="s">
        <v>54</v>
      </c>
      <c r="C12" s="113"/>
      <c r="D12" s="57">
        <v>7</v>
      </c>
      <c r="E12" s="58"/>
      <c r="I12" s="60"/>
    </row>
    <row r="13" spans="2:13" ht="15" customHeight="1">
      <c r="C13" s="26"/>
      <c r="E13" s="59"/>
      <c r="I13" s="60"/>
    </row>
    <row r="14" spans="2:13" ht="15" customHeight="1">
      <c r="B14" s="22" t="s">
        <v>5</v>
      </c>
      <c r="C14" s="26">
        <v>5</v>
      </c>
      <c r="E14" s="60"/>
      <c r="F14" s="111" t="str">
        <f>IF(ISBLANK(D12),"",IF(D12&gt;D16,B12,B16))</f>
        <v>Шардаков - Власова</v>
      </c>
      <c r="G14" s="113"/>
      <c r="H14" s="57">
        <v>9</v>
      </c>
      <c r="I14" s="61"/>
    </row>
    <row r="15" spans="2:13" ht="15" customHeight="1">
      <c r="E15" s="60"/>
    </row>
    <row r="16" spans="2:13" ht="15" customHeight="1">
      <c r="B16" s="112" t="s">
        <v>43</v>
      </c>
      <c r="C16" s="113"/>
      <c r="D16" s="57">
        <v>13</v>
      </c>
      <c r="E16" s="61"/>
    </row>
    <row r="20" spans="2:7" ht="15" customHeight="1">
      <c r="B20" s="112" t="str">
        <f>IF(ISBLANK(D4),"",IF(D4&gt;D8,B8,B4))</f>
        <v>Татьянц - Мыльцева (ст.)</v>
      </c>
      <c r="C20" s="113"/>
      <c r="D20" s="57" t="s">
        <v>56</v>
      </c>
      <c r="E20" s="58"/>
      <c r="F20" s="114"/>
      <c r="G20" s="114"/>
    </row>
    <row r="21" spans="2:7" ht="15" customHeight="1">
      <c r="E21" s="59"/>
    </row>
    <row r="22" spans="2:7" ht="15" customHeight="1">
      <c r="B22" s="22" t="s">
        <v>5</v>
      </c>
      <c r="C22" s="26"/>
      <c r="E22" s="60"/>
      <c r="F22" s="111"/>
      <c r="G22" s="112"/>
    </row>
    <row r="23" spans="2:7" ht="15" customHeight="1">
      <c r="E23" s="60"/>
    </row>
    <row r="24" spans="2:7" ht="15" customHeight="1">
      <c r="B24" s="112" t="str">
        <f>IF(ISBLANK(D12),"",IF(D12&gt;D16,B16,B12))</f>
        <v>Помазан Г. - Помазан Л.</v>
      </c>
      <c r="C24" s="113"/>
      <c r="D24" s="57" t="s">
        <v>56</v>
      </c>
      <c r="E24" s="61"/>
    </row>
    <row r="28" spans="2:7" ht="15" customHeight="1">
      <c r="B28" s="29" t="s">
        <v>29</v>
      </c>
      <c r="C28" s="29"/>
      <c r="D28" s="29"/>
      <c r="E28" s="29"/>
    </row>
    <row r="29" spans="2:7" ht="15" customHeight="1">
      <c r="B29" s="29"/>
      <c r="C29" s="29"/>
      <c r="D29" s="29"/>
      <c r="E29" s="29"/>
    </row>
    <row r="30" spans="2:7" ht="15" customHeight="1">
      <c r="B30" s="29"/>
      <c r="C30" s="29"/>
      <c r="D30" s="29"/>
      <c r="E30" s="29"/>
    </row>
    <row r="31" spans="2:7" ht="15" customHeight="1">
      <c r="B31" s="29" t="s">
        <v>31</v>
      </c>
      <c r="C31" s="29"/>
      <c r="D31" s="29"/>
      <c r="E31" s="29"/>
    </row>
  </sheetData>
  <mergeCells count="12">
    <mergeCell ref="B16:C16"/>
    <mergeCell ref="B20:C20"/>
    <mergeCell ref="F20:G20"/>
    <mergeCell ref="F22:G22"/>
    <mergeCell ref="B1:M1"/>
    <mergeCell ref="B24:C24"/>
    <mergeCell ref="B4:C4"/>
    <mergeCell ref="F6:G6"/>
    <mergeCell ref="B8:C8"/>
    <mergeCell ref="J10:K10"/>
    <mergeCell ref="B12:C12"/>
    <mergeCell ref="F14:G1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50"/>
  <sheetViews>
    <sheetView topLeftCell="A4" zoomScaleNormal="100" workbookViewId="0">
      <selection activeCell="D44" sqref="D44"/>
    </sheetView>
  </sheetViews>
  <sheetFormatPr defaultRowHeight="15"/>
  <cols>
    <col min="2" max="2" width="25.7109375" customWidth="1"/>
    <col min="3" max="3" width="22.42578125" customWidth="1"/>
    <col min="4" max="4" width="31.28515625" customWidth="1"/>
  </cols>
  <sheetData>
    <row r="1" spans="1:11" ht="54" customHeight="1">
      <c r="A1" s="115" t="s">
        <v>21</v>
      </c>
      <c r="B1" s="115"/>
      <c r="C1" s="115"/>
      <c r="D1" s="115"/>
      <c r="E1" s="35"/>
      <c r="F1" s="35"/>
      <c r="G1" s="35"/>
      <c r="H1" s="35"/>
      <c r="I1" s="35"/>
      <c r="J1" s="35"/>
      <c r="K1" s="35"/>
    </row>
    <row r="2" spans="1:11" ht="98.25" customHeight="1">
      <c r="A2" s="116" t="s">
        <v>57</v>
      </c>
      <c r="B2" s="116"/>
      <c r="C2" s="116"/>
      <c r="D2" s="116"/>
      <c r="E2" s="34"/>
      <c r="F2" s="34"/>
      <c r="G2" s="33"/>
      <c r="H2" s="33"/>
      <c r="I2" s="33"/>
      <c r="J2" s="33"/>
    </row>
    <row r="3" spans="1:11" ht="15.75" thickBot="1"/>
    <row r="4" spans="1:11" ht="15.75" thickBot="1">
      <c r="A4" s="39" t="s">
        <v>22</v>
      </c>
      <c r="B4" s="40" t="s">
        <v>23</v>
      </c>
      <c r="C4" s="41" t="s">
        <v>24</v>
      </c>
      <c r="D4" s="80" t="s">
        <v>25</v>
      </c>
    </row>
    <row r="5" spans="1:11" ht="15.75" thickBot="1">
      <c r="A5" s="38">
        <v>1</v>
      </c>
      <c r="B5" s="63" t="s">
        <v>10</v>
      </c>
      <c r="C5" s="31" t="s">
        <v>26</v>
      </c>
      <c r="D5" s="81">
        <v>14</v>
      </c>
    </row>
    <row r="6" spans="1:11">
      <c r="A6" s="38">
        <v>1</v>
      </c>
      <c r="B6" s="36" t="s">
        <v>58</v>
      </c>
      <c r="C6" s="31" t="s">
        <v>27</v>
      </c>
      <c r="D6" s="81">
        <v>14</v>
      </c>
    </row>
    <row r="7" spans="1:11">
      <c r="A7" s="32">
        <v>2</v>
      </c>
      <c r="B7" s="36" t="s">
        <v>12</v>
      </c>
      <c r="C7" s="31" t="s">
        <v>27</v>
      </c>
      <c r="D7" s="82">
        <v>12</v>
      </c>
    </row>
    <row r="8" spans="1:11">
      <c r="A8" s="32">
        <v>2</v>
      </c>
      <c r="B8" s="36" t="s">
        <v>16</v>
      </c>
      <c r="C8" s="31" t="s">
        <v>27</v>
      </c>
      <c r="D8" s="82">
        <v>12</v>
      </c>
    </row>
    <row r="9" spans="1:11">
      <c r="A9" s="32">
        <v>3</v>
      </c>
      <c r="B9" s="36" t="s">
        <v>59</v>
      </c>
      <c r="C9" s="31" t="s">
        <v>28</v>
      </c>
      <c r="D9" s="82">
        <v>11</v>
      </c>
    </row>
    <row r="10" spans="1:11">
      <c r="A10" s="32">
        <v>3</v>
      </c>
      <c r="B10" s="36" t="s">
        <v>32</v>
      </c>
      <c r="C10" s="31" t="s">
        <v>27</v>
      </c>
      <c r="D10" s="82">
        <v>11</v>
      </c>
    </row>
    <row r="11" spans="1:11">
      <c r="A11" s="32">
        <v>4</v>
      </c>
      <c r="B11" s="37" t="s">
        <v>60</v>
      </c>
      <c r="C11" s="31" t="s">
        <v>62</v>
      </c>
      <c r="D11" s="82">
        <v>10</v>
      </c>
    </row>
    <row r="12" spans="1:11">
      <c r="A12" s="32">
        <v>4</v>
      </c>
      <c r="B12" s="37" t="s">
        <v>61</v>
      </c>
      <c r="C12" s="31" t="s">
        <v>62</v>
      </c>
      <c r="D12" s="82">
        <v>10</v>
      </c>
    </row>
    <row r="13" spans="1:11">
      <c r="A13" s="43">
        <v>5</v>
      </c>
      <c r="B13" s="37" t="s">
        <v>63</v>
      </c>
      <c r="C13" s="31" t="s">
        <v>27</v>
      </c>
      <c r="D13" s="82">
        <v>9</v>
      </c>
    </row>
    <row r="14" spans="1:11">
      <c r="A14" s="43">
        <v>5</v>
      </c>
      <c r="B14" s="37" t="s">
        <v>64</v>
      </c>
      <c r="C14" s="31" t="s">
        <v>27</v>
      </c>
      <c r="D14" s="82">
        <v>9</v>
      </c>
    </row>
    <row r="15" spans="1:11">
      <c r="A15" s="32">
        <v>6</v>
      </c>
      <c r="B15" s="37" t="s">
        <v>65</v>
      </c>
      <c r="C15" s="31" t="s">
        <v>27</v>
      </c>
      <c r="D15" s="82">
        <v>8</v>
      </c>
    </row>
    <row r="16" spans="1:11">
      <c r="A16" s="32">
        <v>6</v>
      </c>
      <c r="B16" s="37" t="s">
        <v>66</v>
      </c>
      <c r="C16" s="31" t="s">
        <v>27</v>
      </c>
      <c r="D16" s="82">
        <v>8</v>
      </c>
    </row>
    <row r="17" spans="1:4">
      <c r="A17" s="65">
        <v>7</v>
      </c>
      <c r="B17" s="37" t="s">
        <v>67</v>
      </c>
      <c r="C17" s="31" t="s">
        <v>27</v>
      </c>
      <c r="D17" s="82">
        <v>7</v>
      </c>
    </row>
    <row r="18" spans="1:4">
      <c r="A18" s="65">
        <v>7</v>
      </c>
      <c r="B18" s="37" t="s">
        <v>68</v>
      </c>
      <c r="C18" s="31" t="s">
        <v>27</v>
      </c>
      <c r="D18" s="82">
        <v>7</v>
      </c>
    </row>
    <row r="19" spans="1:4">
      <c r="A19" s="65">
        <v>8</v>
      </c>
      <c r="B19" s="37" t="s">
        <v>11</v>
      </c>
      <c r="C19" s="31" t="s">
        <v>27</v>
      </c>
      <c r="D19" s="82">
        <v>6</v>
      </c>
    </row>
    <row r="20" spans="1:4">
      <c r="A20" s="65">
        <v>8</v>
      </c>
      <c r="B20" s="37" t="s">
        <v>18</v>
      </c>
      <c r="C20" s="31" t="s">
        <v>27</v>
      </c>
      <c r="D20" s="82">
        <v>6</v>
      </c>
    </row>
    <row r="21" spans="1:4">
      <c r="A21" s="65">
        <v>9</v>
      </c>
      <c r="B21" s="37" t="s">
        <v>69</v>
      </c>
      <c r="C21" s="31" t="s">
        <v>27</v>
      </c>
      <c r="D21" s="82">
        <v>5</v>
      </c>
    </row>
    <row r="22" spans="1:4">
      <c r="A22" s="65">
        <v>9</v>
      </c>
      <c r="B22" s="37" t="s">
        <v>70</v>
      </c>
      <c r="C22" s="31" t="s">
        <v>27</v>
      </c>
      <c r="D22" s="82">
        <v>5</v>
      </c>
    </row>
    <row r="23" spans="1:4">
      <c r="A23" s="65">
        <v>10</v>
      </c>
      <c r="B23" s="37" t="s">
        <v>71</v>
      </c>
      <c r="C23" s="31" t="s">
        <v>27</v>
      </c>
      <c r="D23" s="82">
        <v>4</v>
      </c>
    </row>
    <row r="24" spans="1:4">
      <c r="A24" s="65">
        <v>10</v>
      </c>
      <c r="B24" s="37" t="s">
        <v>17</v>
      </c>
      <c r="C24" s="31" t="s">
        <v>30</v>
      </c>
      <c r="D24" s="82">
        <v>4</v>
      </c>
    </row>
    <row r="25" spans="1:4">
      <c r="A25" s="65">
        <v>11</v>
      </c>
      <c r="B25" s="37" t="s">
        <v>13</v>
      </c>
      <c r="C25" s="31" t="s">
        <v>27</v>
      </c>
      <c r="D25" s="82">
        <v>3</v>
      </c>
    </row>
    <row r="26" spans="1:4">
      <c r="A26" s="65">
        <v>11</v>
      </c>
      <c r="B26" s="37" t="s">
        <v>72</v>
      </c>
      <c r="C26" s="31" t="s">
        <v>27</v>
      </c>
      <c r="D26" s="82">
        <v>3</v>
      </c>
    </row>
    <row r="27" spans="1:4">
      <c r="A27" s="65">
        <v>12</v>
      </c>
      <c r="B27" s="37" t="s">
        <v>15</v>
      </c>
      <c r="C27" s="31" t="s">
        <v>27</v>
      </c>
      <c r="D27" s="82">
        <v>2</v>
      </c>
    </row>
    <row r="28" spans="1:4">
      <c r="A28" s="65">
        <v>12</v>
      </c>
      <c r="B28" s="37" t="s">
        <v>73</v>
      </c>
      <c r="C28" s="31" t="s">
        <v>27</v>
      </c>
      <c r="D28" s="82">
        <v>2</v>
      </c>
    </row>
    <row r="29" spans="1:4">
      <c r="A29" s="65">
        <v>13</v>
      </c>
      <c r="B29" s="37" t="s">
        <v>14</v>
      </c>
      <c r="C29" s="31" t="s">
        <v>27</v>
      </c>
      <c r="D29" s="82">
        <v>1</v>
      </c>
    </row>
    <row r="30" spans="1:4">
      <c r="A30" s="65">
        <v>13</v>
      </c>
      <c r="B30" s="37" t="s">
        <v>74</v>
      </c>
      <c r="C30" s="31" t="s">
        <v>27</v>
      </c>
      <c r="D30" s="82">
        <v>1</v>
      </c>
    </row>
    <row r="31" spans="1:4">
      <c r="A31" s="65">
        <v>14</v>
      </c>
      <c r="B31" s="37" t="s">
        <v>75</v>
      </c>
      <c r="C31" s="31" t="s">
        <v>27</v>
      </c>
      <c r="D31" s="82">
        <v>1</v>
      </c>
    </row>
    <row r="32" spans="1:4">
      <c r="A32" s="65">
        <v>14</v>
      </c>
      <c r="B32" s="37" t="s">
        <v>76</v>
      </c>
      <c r="C32" s="31" t="s">
        <v>27</v>
      </c>
      <c r="D32" s="82">
        <v>1</v>
      </c>
    </row>
    <row r="33" spans="1:7">
      <c r="A33" s="65" t="s">
        <v>81</v>
      </c>
      <c r="B33" s="37" t="s">
        <v>77</v>
      </c>
      <c r="C33" s="31" t="s">
        <v>27</v>
      </c>
      <c r="D33" s="82">
        <v>1</v>
      </c>
    </row>
    <row r="34" spans="1:7">
      <c r="A34" s="65" t="s">
        <v>81</v>
      </c>
      <c r="B34" s="37" t="s">
        <v>78</v>
      </c>
      <c r="C34" s="31" t="s">
        <v>27</v>
      </c>
      <c r="D34" s="82">
        <v>1</v>
      </c>
    </row>
    <row r="35" spans="1:7">
      <c r="A35" s="65" t="s">
        <v>81</v>
      </c>
      <c r="B35" s="37" t="s">
        <v>79</v>
      </c>
      <c r="C35" s="31" t="s">
        <v>27</v>
      </c>
      <c r="D35" s="82">
        <v>1</v>
      </c>
    </row>
    <row r="36" spans="1:7">
      <c r="A36" s="65" t="s">
        <v>81</v>
      </c>
      <c r="B36" s="37" t="s">
        <v>80</v>
      </c>
      <c r="C36" s="31" t="s">
        <v>27</v>
      </c>
      <c r="D36" s="82">
        <v>1</v>
      </c>
    </row>
    <row r="37" spans="1:7">
      <c r="A37" s="65" t="s">
        <v>82</v>
      </c>
      <c r="B37" s="37" t="s">
        <v>83</v>
      </c>
      <c r="C37" s="31" t="s">
        <v>27</v>
      </c>
      <c r="D37" s="82">
        <v>1</v>
      </c>
    </row>
    <row r="38" spans="1:7">
      <c r="A38" s="65" t="s">
        <v>82</v>
      </c>
      <c r="B38" s="37" t="s">
        <v>138</v>
      </c>
      <c r="C38" s="31" t="s">
        <v>27</v>
      </c>
      <c r="D38" s="82">
        <v>1</v>
      </c>
    </row>
    <row r="39" spans="1:7">
      <c r="A39" s="65" t="s">
        <v>82</v>
      </c>
      <c r="B39" s="37" t="s">
        <v>84</v>
      </c>
      <c r="C39" s="31" t="s">
        <v>27</v>
      </c>
      <c r="D39" s="82">
        <v>1</v>
      </c>
    </row>
    <row r="40" spans="1:7">
      <c r="A40" s="65" t="s">
        <v>82</v>
      </c>
      <c r="B40" s="37" t="s">
        <v>139</v>
      </c>
      <c r="C40" s="31" t="s">
        <v>27</v>
      </c>
      <c r="D40" s="82">
        <v>1</v>
      </c>
    </row>
    <row r="41" spans="1:7">
      <c r="A41" s="65" t="s">
        <v>82</v>
      </c>
      <c r="B41" s="37" t="s">
        <v>85</v>
      </c>
      <c r="C41" s="31" t="s">
        <v>27</v>
      </c>
      <c r="D41" s="82">
        <v>1</v>
      </c>
    </row>
    <row r="42" spans="1:7">
      <c r="A42" s="65" t="s">
        <v>82</v>
      </c>
      <c r="B42" s="37" t="s">
        <v>86</v>
      </c>
      <c r="C42" s="31" t="s">
        <v>27</v>
      </c>
      <c r="D42" s="82">
        <v>1</v>
      </c>
    </row>
    <row r="43" spans="1:7">
      <c r="A43" s="65" t="s">
        <v>82</v>
      </c>
      <c r="B43" s="37" t="s">
        <v>87</v>
      </c>
      <c r="C43" s="31" t="s">
        <v>27</v>
      </c>
      <c r="D43" s="82">
        <v>1</v>
      </c>
    </row>
    <row r="44" spans="1:7" ht="15.75" thickBot="1">
      <c r="A44" s="65" t="s">
        <v>82</v>
      </c>
      <c r="B44" s="64" t="s">
        <v>88</v>
      </c>
      <c r="C44" s="30" t="s">
        <v>27</v>
      </c>
      <c r="D44" s="83">
        <v>1</v>
      </c>
    </row>
    <row r="45" spans="1:7">
      <c r="A45" s="44"/>
      <c r="B45" s="42"/>
      <c r="C45" s="45"/>
      <c r="D45" s="46"/>
    </row>
    <row r="46" spans="1:7" ht="21">
      <c r="A46" s="29"/>
      <c r="B46" s="29"/>
      <c r="C46" s="29"/>
      <c r="D46" s="29"/>
      <c r="E46" s="29"/>
      <c r="F46" s="29"/>
      <c r="G46" s="28"/>
    </row>
    <row r="47" spans="1:7" ht="19.5" customHeight="1">
      <c r="A47" s="29" t="s">
        <v>29</v>
      </c>
      <c r="B47" s="29"/>
      <c r="C47" s="29"/>
      <c r="D47" s="29"/>
      <c r="E47" s="29"/>
      <c r="F47" s="29"/>
      <c r="G47" s="28"/>
    </row>
    <row r="48" spans="1:7" ht="15" customHeight="1">
      <c r="A48" s="29"/>
      <c r="B48" s="29"/>
      <c r="C48" s="29"/>
      <c r="D48" s="29"/>
      <c r="E48" s="29"/>
      <c r="F48" s="29"/>
      <c r="G48" s="28"/>
    </row>
    <row r="49" spans="1:7" ht="21">
      <c r="A49" s="29"/>
      <c r="B49" s="29"/>
      <c r="C49" s="29"/>
      <c r="D49" s="29"/>
      <c r="E49" s="29"/>
      <c r="F49" s="29"/>
      <c r="G49" s="28"/>
    </row>
    <row r="50" spans="1:7" ht="21">
      <c r="A50" s="29" t="s">
        <v>31</v>
      </c>
      <c r="B50" s="29"/>
      <c r="C50" s="29"/>
      <c r="D50" s="29"/>
      <c r="E50" s="29"/>
      <c r="F50" s="29"/>
      <c r="G50" s="28"/>
    </row>
  </sheetData>
  <mergeCells count="2">
    <mergeCell ref="A1:D1"/>
    <mergeCell ref="A2:D2"/>
  </mergeCells>
  <phoneticPr fontId="15" type="noConversion"/>
  <pageMargins left="0.75" right="0.49" top="0.7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ОРТ "Ривьера" (гр.А)</vt:lpstr>
      <vt:lpstr>ОРТ "Ривьера" (гр.В)</vt:lpstr>
      <vt:lpstr>ОРТ "Ривьера" (гр.С)</vt:lpstr>
      <vt:lpstr>ОРТ "Ривьера" (гр.D)</vt:lpstr>
      <vt:lpstr>ОРТ "Ривьера" Кубок А</vt:lpstr>
      <vt:lpstr>ОРТ "Ривьера" Кубок В</vt:lpstr>
      <vt:lpstr>ОРТ "Ривьера" Кубок С</vt:lpstr>
      <vt:lpstr>ОРТ "Ривьера" Кубок D</vt:lpstr>
      <vt:lpstr>Итоги ГП России ОРТ Ривьера</vt:lpstr>
      <vt:lpstr>Кубок ВФБ гр.А</vt:lpstr>
      <vt:lpstr>Кубок ВФБ гр.В</vt:lpstr>
      <vt:lpstr>Кубок ВФБ Кубок А</vt:lpstr>
      <vt:lpstr>Кубок ВФБ Кубок В</vt:lpstr>
      <vt:lpstr>Кубок ВФБ Кубок С</vt:lpstr>
      <vt:lpstr>Итоги ГП России Чемпионата ВФБ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UserPC</dc:creator>
  <cp:lastModifiedBy>EMPEROR</cp:lastModifiedBy>
  <dcterms:created xsi:type="dcterms:W3CDTF">2024-09-17T18:22:21Z</dcterms:created>
  <dcterms:modified xsi:type="dcterms:W3CDTF">2024-11-19T16:02:29Z</dcterms:modified>
</cp:coreProperties>
</file>