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Flash\Петанк\2026\Абрау-Дюрсо\"/>
    </mc:Choice>
  </mc:AlternateContent>
  <bookViews>
    <workbookView xWindow="0" yWindow="0" windowWidth="20490" windowHeight="7095" firstSheet="3" activeTab="8"/>
  </bookViews>
  <sheets>
    <sheet name="Регистрация" sheetId="9" r:id="rId1"/>
    <sheet name="Группа А" sheetId="1" r:id="rId2"/>
    <sheet name="Группа В" sheetId="3" r:id="rId3"/>
    <sheet name="Группа С" sheetId="4" r:id="rId4"/>
    <sheet name="Плей офф М (А)" sheetId="2" r:id="rId5"/>
    <sheet name="Плей офф М (В)" sheetId="5" r:id="rId6"/>
    <sheet name="Итоги" sheetId="6" r:id="rId7"/>
    <sheet name="Ранжирование" sheetId="8" r:id="rId8"/>
    <sheet name="Рейтинг край" sheetId="7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7" l="1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3" i="7"/>
  <c r="O6" i="4" l="1"/>
  <c r="B40" i="5"/>
  <c r="F38" i="5"/>
  <c r="B36" i="5"/>
  <c r="F30" i="5"/>
  <c r="J26" i="5"/>
  <c r="F22" i="5"/>
  <c r="N18" i="5"/>
  <c r="F14" i="5"/>
  <c r="J10" i="5"/>
  <c r="F6" i="5"/>
  <c r="B1" i="5"/>
  <c r="B1" i="2"/>
  <c r="B40" i="2"/>
  <c r="F38" i="2"/>
  <c r="B36" i="2"/>
  <c r="F30" i="2"/>
  <c r="J26" i="2"/>
  <c r="F22" i="2"/>
  <c r="N18" i="2"/>
  <c r="F14" i="2"/>
  <c r="J10" i="2"/>
  <c r="F6" i="2"/>
  <c r="H27" i="4"/>
  <c r="J8" i="1"/>
  <c r="H40" i="3"/>
  <c r="H42" i="4"/>
  <c r="C30" i="1"/>
  <c r="C25" i="3"/>
  <c r="H6" i="4"/>
  <c r="I6" i="4"/>
  <c r="H31" i="3"/>
  <c r="J14" i="1"/>
  <c r="C35" i="4"/>
  <c r="G12" i="4"/>
  <c r="C22" i="3"/>
  <c r="J4" i="1"/>
  <c r="H6" i="3"/>
  <c r="C36" i="3"/>
  <c r="H10" i="1"/>
  <c r="K6" i="4"/>
  <c r="H25" i="1"/>
  <c r="G8" i="1"/>
  <c r="H4" i="4"/>
  <c r="J6" i="4"/>
  <c r="I14" i="4"/>
  <c r="G12" i="3"/>
  <c r="J8" i="3"/>
  <c r="J5" i="1"/>
  <c r="C37" i="4"/>
  <c r="C36" i="1"/>
  <c r="G4" i="3"/>
  <c r="H36" i="3"/>
  <c r="H36" i="1"/>
  <c r="J6" i="1"/>
  <c r="G14" i="1"/>
  <c r="I4" i="1"/>
  <c r="J9" i="3"/>
  <c r="J9" i="1"/>
  <c r="H26" i="4"/>
  <c r="J10" i="1"/>
  <c r="H30" i="1"/>
  <c r="G14" i="3"/>
  <c r="H21" i="3"/>
  <c r="H35" i="4"/>
  <c r="J10" i="4"/>
  <c r="J4" i="3"/>
  <c r="C37" i="1"/>
  <c r="G4" i="1"/>
  <c r="H11" i="1"/>
  <c r="J7" i="1"/>
  <c r="I7" i="4"/>
  <c r="J15" i="1"/>
  <c r="J7" i="4"/>
  <c r="K6" i="1"/>
  <c r="C40" i="4"/>
  <c r="H21" i="4"/>
  <c r="C22" i="4"/>
  <c r="H20" i="3"/>
  <c r="H37" i="3"/>
  <c r="H27" i="1"/>
  <c r="C41" i="4"/>
  <c r="H20" i="1"/>
  <c r="H14" i="4"/>
  <c r="H36" i="4"/>
  <c r="C31" i="1"/>
  <c r="K10" i="4"/>
  <c r="H41" i="3"/>
  <c r="F6" i="4"/>
  <c r="G10" i="4"/>
  <c r="I6" i="3"/>
  <c r="C25" i="1"/>
  <c r="K4" i="3"/>
  <c r="K5" i="3" s="1"/>
  <c r="H22" i="3"/>
  <c r="I14" i="3"/>
  <c r="H22" i="4"/>
  <c r="H4" i="1"/>
  <c r="C41" i="1"/>
  <c r="K8" i="3"/>
  <c r="H12" i="3"/>
  <c r="H42" i="1"/>
  <c r="F12" i="3"/>
  <c r="H21" i="1"/>
  <c r="H30" i="3"/>
  <c r="I8" i="3"/>
  <c r="K4" i="1"/>
  <c r="G14" i="4"/>
  <c r="C35" i="3"/>
  <c r="H32" i="1"/>
  <c r="F14" i="1"/>
  <c r="F15" i="1" s="1"/>
  <c r="H4" i="3"/>
  <c r="F8" i="4"/>
  <c r="F9" i="4" s="1"/>
  <c r="G4" i="4"/>
  <c r="J14" i="4"/>
  <c r="G12" i="1"/>
  <c r="G13" i="1" s="1"/>
  <c r="F8" i="3"/>
  <c r="H35" i="1"/>
  <c r="C21" i="1"/>
  <c r="H37" i="4"/>
  <c r="H5" i="3"/>
  <c r="J15" i="4"/>
  <c r="J11" i="4"/>
  <c r="K7" i="4"/>
  <c r="G15" i="4"/>
  <c r="J11" i="1"/>
  <c r="G13" i="3"/>
  <c r="I8" i="1"/>
  <c r="C32" i="4"/>
  <c r="H37" i="1"/>
  <c r="I12" i="3"/>
  <c r="J10" i="3"/>
  <c r="F12" i="4"/>
  <c r="G8" i="4"/>
  <c r="H14" i="1"/>
  <c r="H14" i="3"/>
  <c r="H25" i="3"/>
  <c r="I4" i="4"/>
  <c r="H12" i="1"/>
  <c r="H13" i="1" s="1"/>
  <c r="C20" i="4"/>
  <c r="I8" i="4"/>
  <c r="I9" i="4" s="1"/>
  <c r="F10" i="4"/>
  <c r="F6" i="3"/>
  <c r="H31" i="1"/>
  <c r="H35" i="3"/>
  <c r="H26" i="1"/>
  <c r="H30" i="4"/>
  <c r="C26" i="3"/>
  <c r="H32" i="4"/>
  <c r="J14" i="3"/>
  <c r="J15" i="3" s="1"/>
  <c r="J8" i="4"/>
  <c r="F7" i="3"/>
  <c r="F8" i="1"/>
  <c r="F13" i="4"/>
  <c r="H15" i="4"/>
  <c r="H15" i="1"/>
  <c r="I13" i="3"/>
  <c r="J11" i="3"/>
  <c r="K6" i="3"/>
  <c r="H27" i="3"/>
  <c r="H40" i="1"/>
  <c r="F14" i="3"/>
  <c r="F15" i="3" s="1"/>
  <c r="C36" i="4"/>
  <c r="C27" i="3"/>
  <c r="C32" i="3"/>
  <c r="C20" i="3"/>
  <c r="C30" i="3"/>
  <c r="K12" i="4"/>
  <c r="K12" i="3"/>
  <c r="K13" i="3" s="1"/>
  <c r="K5" i="1"/>
  <c r="K11" i="4"/>
  <c r="G9" i="4"/>
  <c r="C31" i="4"/>
  <c r="C26" i="1"/>
  <c r="C31" i="3"/>
  <c r="C42" i="4"/>
  <c r="K4" i="4"/>
  <c r="K5" i="4" s="1"/>
  <c r="C37" i="3"/>
  <c r="H32" i="3"/>
  <c r="H42" i="3"/>
  <c r="C22" i="1"/>
  <c r="C21" i="4"/>
  <c r="F14" i="4"/>
  <c r="I6" i="1"/>
  <c r="C42" i="3"/>
  <c r="H41" i="1"/>
  <c r="H20" i="4"/>
  <c r="I7" i="1"/>
  <c r="C42" i="1"/>
  <c r="H22" i="1"/>
  <c r="K8" i="4"/>
  <c r="G10" i="3"/>
  <c r="C20" i="1"/>
  <c r="H10" i="3"/>
  <c r="H11" i="3" s="1"/>
  <c r="K10" i="1"/>
  <c r="H40" i="4"/>
  <c r="K9" i="3"/>
  <c r="I9" i="3"/>
  <c r="K7" i="3"/>
  <c r="I5" i="1"/>
  <c r="F6" i="1"/>
  <c r="F7" i="1" s="1"/>
  <c r="K8" i="1"/>
  <c r="K9" i="1" s="1"/>
  <c r="C25" i="4"/>
  <c r="I12" i="4"/>
  <c r="I13" i="4" s="1"/>
  <c r="J4" i="4"/>
  <c r="J5" i="4" s="1"/>
  <c r="J6" i="3"/>
  <c r="H31" i="4"/>
  <c r="G10" i="1"/>
  <c r="G11" i="1" s="1"/>
  <c r="C40" i="1"/>
  <c r="I14" i="1"/>
  <c r="I15" i="1" s="1"/>
  <c r="I4" i="3"/>
  <c r="I5" i="3" s="1"/>
  <c r="H6" i="1"/>
  <c r="H7" i="1" s="1"/>
  <c r="C21" i="3"/>
  <c r="F10" i="3"/>
  <c r="F11" i="3" s="1"/>
  <c r="I12" i="1"/>
  <c r="I13" i="1" s="1"/>
  <c r="C35" i="1"/>
  <c r="F12" i="1"/>
  <c r="F13" i="1" s="1"/>
  <c r="K12" i="1"/>
  <c r="K13" i="1" s="1"/>
  <c r="G5" i="3"/>
  <c r="F10" i="1"/>
  <c r="F11" i="1" s="1"/>
  <c r="G8" i="3"/>
  <c r="G9" i="3" s="1"/>
  <c r="I5" i="4"/>
  <c r="H26" i="3"/>
  <c r="C32" i="1"/>
  <c r="G15" i="3"/>
  <c r="F15" i="4"/>
  <c r="J9" i="4"/>
  <c r="H5" i="1"/>
  <c r="G13" i="4"/>
  <c r="H10" i="4"/>
  <c r="H11" i="4" s="1"/>
  <c r="H12" i="4"/>
  <c r="H13" i="4" s="1"/>
  <c r="C30" i="4"/>
  <c r="I9" i="1"/>
  <c r="C40" i="3"/>
  <c r="K10" i="3"/>
  <c r="K11" i="3" s="1"/>
  <c r="C41" i="3"/>
  <c r="C26" i="4"/>
  <c r="H41" i="4"/>
  <c r="C27" i="4"/>
  <c r="H25" i="4"/>
  <c r="F11" i="4"/>
  <c r="F7" i="4"/>
  <c r="K7" i="1"/>
  <c r="H7" i="4"/>
  <c r="C27" i="1"/>
  <c r="L12" i="1" l="1"/>
  <c r="M13" i="1"/>
  <c r="L6" i="1"/>
  <c r="M7" i="1"/>
  <c r="L6" i="4"/>
  <c r="M7" i="4"/>
  <c r="J7" i="3"/>
  <c r="J5" i="3"/>
  <c r="H7" i="3"/>
  <c r="K9" i="4"/>
  <c r="K11" i="1"/>
  <c r="I7" i="3"/>
  <c r="K13" i="4"/>
  <c r="G15" i="1"/>
  <c r="G11" i="3"/>
  <c r="H5" i="4"/>
  <c r="G11" i="4"/>
  <c r="I15" i="3"/>
  <c r="G5" i="1"/>
  <c r="H15" i="3"/>
  <c r="I15" i="4"/>
  <c r="F9" i="1"/>
  <c r="G5" i="4"/>
  <c r="G9" i="1"/>
  <c r="H13" i="3"/>
  <c r="F13" i="3"/>
  <c r="F9" i="3"/>
  <c r="L10" i="4" l="1"/>
  <c r="M11" i="4"/>
  <c r="M13" i="4"/>
  <c r="L12" i="4"/>
  <c r="L4" i="3"/>
  <c r="M5" i="3"/>
  <c r="L14" i="4"/>
  <c r="M15" i="4"/>
  <c r="L8" i="3"/>
  <c r="M9" i="3"/>
  <c r="M11" i="1"/>
  <c r="L10" i="1"/>
  <c r="L14" i="3"/>
  <c r="M15" i="3"/>
  <c r="M15" i="1"/>
  <c r="L14" i="1"/>
  <c r="M9" i="4"/>
  <c r="L8" i="4"/>
  <c r="M5" i="1"/>
  <c r="L4" i="1"/>
  <c r="L12" i="3"/>
  <c r="M13" i="3"/>
  <c r="L4" i="4"/>
  <c r="M5" i="4"/>
  <c r="L6" i="3"/>
  <c r="M7" i="3"/>
  <c r="M11" i="3"/>
  <c r="L10" i="3"/>
  <c r="L8" i="1"/>
  <c r="M9" i="1"/>
</calcChain>
</file>

<file path=xl/sharedStrings.xml><?xml version="1.0" encoding="utf-8"?>
<sst xmlns="http://schemas.openxmlformats.org/spreadsheetml/2006/main" count="279" uniqueCount="91">
  <si>
    <t>Команда</t>
  </si>
  <si>
    <t>победы</t>
  </si>
  <si>
    <t>доп</t>
  </si>
  <si>
    <t>место</t>
  </si>
  <si>
    <t/>
  </si>
  <si>
    <t>Тур 1</t>
  </si>
  <si>
    <t>дор.</t>
  </si>
  <si>
    <t>Тур 2</t>
  </si>
  <si>
    <t>Тур 3</t>
  </si>
  <si>
    <t>Тур 4</t>
  </si>
  <si>
    <t>Тур 5</t>
  </si>
  <si>
    <t>Группа А</t>
  </si>
  <si>
    <t>Еремин Павел</t>
  </si>
  <si>
    <t>Шустваль Евгений</t>
  </si>
  <si>
    <t>Пищанский Виктор</t>
  </si>
  <si>
    <t>Возный Николай</t>
  </si>
  <si>
    <t>Субанов Руслан</t>
  </si>
  <si>
    <t>Раскин Максим</t>
  </si>
  <si>
    <t>Группа В</t>
  </si>
  <si>
    <t>Федотовский Олег</t>
  </si>
  <si>
    <t>Помазан Геннадий</t>
  </si>
  <si>
    <t>Валибуз Пьер Ив</t>
  </si>
  <si>
    <t>Листопадов Юрий</t>
  </si>
  <si>
    <t>Дрозд Денис</t>
  </si>
  <si>
    <t>Завьялов Валерий</t>
  </si>
  <si>
    <t>Группа С</t>
  </si>
  <si>
    <t>Гелдиев Роман</t>
  </si>
  <si>
    <t>Лукин Сергей</t>
  </si>
  <si>
    <t>Танчин Виктор</t>
  </si>
  <si>
    <t>Иванов Виталий</t>
  </si>
  <si>
    <t>Луданов Алексей</t>
  </si>
  <si>
    <t>Малов Сергей</t>
  </si>
  <si>
    <t>КУБОК А</t>
  </si>
  <si>
    <t>КУБОК В</t>
  </si>
  <si>
    <t>15\16</t>
  </si>
  <si>
    <t>11\12</t>
  </si>
  <si>
    <r>
      <t xml:space="preserve">Турнир "Кубок Абрау", Тет-а-тет, </t>
    </r>
    <r>
      <rPr>
        <b/>
        <sz val="16"/>
        <color rgb="FF0070C0"/>
        <rFont val="Calibri Light"/>
        <family val="2"/>
        <charset val="204"/>
        <scheme val="major"/>
      </rPr>
      <t>мужчины</t>
    </r>
  </si>
  <si>
    <r>
      <t>Турнир "Кубок Абрау", Тет-а-тет,</t>
    </r>
    <r>
      <rPr>
        <b/>
        <sz val="16"/>
        <color rgb="FF0070C0"/>
        <rFont val="Calibri Light"/>
        <family val="2"/>
        <charset val="204"/>
        <scheme val="major"/>
      </rPr>
      <t xml:space="preserve"> мужчины</t>
    </r>
  </si>
  <si>
    <t>Валибуз Пьер</t>
  </si>
  <si>
    <t xml:space="preserve">Кубок Абрау </t>
  </si>
  <si>
    <t>2 мая 2026г.</t>
  </si>
  <si>
    <t>Кубок А</t>
  </si>
  <si>
    <t>1 место</t>
  </si>
  <si>
    <t>2 место</t>
  </si>
  <si>
    <t>3 место</t>
  </si>
  <si>
    <t xml:space="preserve">4 место </t>
  </si>
  <si>
    <t>Кубок В</t>
  </si>
  <si>
    <t>Тет-а-тет мужчины</t>
  </si>
  <si>
    <t>Пищанский Виктор (Геленджик)</t>
  </si>
  <si>
    <t>Субанов Руслан (Новороссийск)</t>
  </si>
  <si>
    <t>Луданов Алексей (Новороссийск)</t>
  </si>
  <si>
    <t>Иванов Виталий (Крым)</t>
  </si>
  <si>
    <t>Шустваль Евгений (Новороссийск)</t>
  </si>
  <si>
    <t>Лукин Сергей (Анапа)</t>
  </si>
  <si>
    <t>Завьялов Валерий (Геленджик)</t>
  </si>
  <si>
    <t>Еремин Павел (Новороссийск)</t>
  </si>
  <si>
    <t>Город</t>
  </si>
  <si>
    <t>РФП</t>
  </si>
  <si>
    <t>Рейтинг
край</t>
  </si>
  <si>
    <t>Анапа</t>
  </si>
  <si>
    <t>Геленджик</t>
  </si>
  <si>
    <t>Крым</t>
  </si>
  <si>
    <t>Новороссийск</t>
  </si>
  <si>
    <t>Калуга</t>
  </si>
  <si>
    <t xml:space="preserve"> Гелдиев Роман</t>
  </si>
  <si>
    <t xml:space="preserve"> Еремин Павел </t>
  </si>
  <si>
    <t xml:space="preserve">Помазан Геннадий </t>
  </si>
  <si>
    <t xml:space="preserve"> Лукин Сергей </t>
  </si>
  <si>
    <t xml:space="preserve"> Пищанский Виктор </t>
  </si>
  <si>
    <t xml:space="preserve"> Валибуз Пьер.</t>
  </si>
  <si>
    <t xml:space="preserve"> Танчин Виктор</t>
  </si>
  <si>
    <t xml:space="preserve">Малов Сергей </t>
  </si>
  <si>
    <t>Самара/Витязево</t>
  </si>
  <si>
    <t xml:space="preserve"> Луданов Алексей </t>
  </si>
  <si>
    <t xml:space="preserve">Раскин Максим </t>
  </si>
  <si>
    <t xml:space="preserve">Возный Николай Иванович </t>
  </si>
  <si>
    <t xml:space="preserve">Иванов Виталий </t>
  </si>
  <si>
    <t xml:space="preserve"> Шевченко Константин</t>
  </si>
  <si>
    <t>побед</t>
  </si>
  <si>
    <t xml:space="preserve"> разн очков</t>
  </si>
  <si>
    <t>Прим</t>
  </si>
  <si>
    <t>При равенстве показателей между Листопадовым и Лукиным была проведена жеребьевка</t>
  </si>
  <si>
    <t>определившая место в сетке</t>
  </si>
  <si>
    <t xml:space="preserve">Возный Николай  </t>
  </si>
  <si>
    <t>Прим.</t>
  </si>
  <si>
    <t>Субанов - желтая карточка</t>
  </si>
  <si>
    <t>Место</t>
  </si>
  <si>
    <t>Игрок</t>
  </si>
  <si>
    <t>Рейтинг</t>
  </si>
  <si>
    <t>Бонус место</t>
  </si>
  <si>
    <t>Рейтинг итог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</si>
</sst>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+##;\-##;0"/>
    <numFmt numFmtId="165" formatCode="\+##;\-##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indexed="8"/>
      <name val="Calibri Light"/>
      <family val="1"/>
      <charset val="204"/>
      <scheme val="major"/>
    </font>
    <font>
      <b/>
      <i/>
      <sz val="11"/>
      <color theme="1"/>
      <name val="Calibri"/>
      <family val="2"/>
      <charset val="204"/>
      <scheme val="minor"/>
    </font>
    <font>
      <b/>
      <sz val="16"/>
      <color rgb="FF0070C0"/>
      <name val="Calibri Light"/>
      <family val="2"/>
      <charset val="204"/>
      <scheme val="major"/>
    </font>
    <font>
      <b/>
      <sz val="11"/>
      <color theme="7" tint="-0.249977111117893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165" fontId="3" fillId="2" borderId="20" xfId="0" applyNumberFormat="1" applyFont="1" applyFill="1" applyBorder="1" applyAlignment="1">
      <alignment horizontal="center" vertical="center"/>
    </xf>
    <xf numFmtId="164" fontId="3" fillId="0" borderId="21" xfId="0" applyNumberFormat="1" applyFont="1" applyBorder="1" applyAlignment="1">
      <alignment horizontal="center" vertical="center"/>
    </xf>
    <xf numFmtId="164" fontId="3" fillId="0" borderId="22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164" fontId="3" fillId="0" borderId="20" xfId="0" applyNumberFormat="1" applyFont="1" applyBorder="1" applyAlignment="1">
      <alignment horizontal="center" vertical="center"/>
    </xf>
    <xf numFmtId="165" fontId="3" fillId="2" borderId="21" xfId="0" applyNumberFormat="1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164" fontId="3" fillId="0" borderId="30" xfId="0" applyNumberFormat="1" applyFont="1" applyBorder="1" applyAlignment="1">
      <alignment horizontal="center" vertical="center"/>
    </xf>
    <xf numFmtId="164" fontId="3" fillId="0" borderId="31" xfId="0" applyNumberFormat="1" applyFont="1" applyBorder="1" applyAlignment="1">
      <alignment horizontal="center" vertical="center"/>
    </xf>
    <xf numFmtId="165" fontId="3" fillId="2" borderId="3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0" fillId="0" borderId="0" xfId="0" applyAlignment="1">
      <alignment horizontal="right" inden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0" fillId="0" borderId="34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39" xfId="0" applyBorder="1" applyAlignment="1">
      <alignment vertical="center"/>
    </xf>
    <xf numFmtId="0" fontId="6" fillId="3" borderId="0" xfId="0" applyFont="1" applyFill="1"/>
    <xf numFmtId="0" fontId="1" fillId="3" borderId="0" xfId="0" applyFont="1" applyFill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right" indent="1"/>
    </xf>
    <xf numFmtId="0" fontId="1" fillId="0" borderId="0" xfId="0" applyFont="1"/>
    <xf numFmtId="0" fontId="10" fillId="0" borderId="0" xfId="0" applyFont="1"/>
    <xf numFmtId="0" fontId="11" fillId="0" borderId="0" xfId="0" applyFont="1"/>
    <xf numFmtId="0" fontId="0" fillId="0" borderId="21" xfId="0" applyBorder="1"/>
    <xf numFmtId="0" fontId="0" fillId="0" borderId="21" xfId="0" applyBorder="1" applyAlignment="1">
      <alignment wrapText="1"/>
    </xf>
    <xf numFmtId="0" fontId="12" fillId="0" borderId="21" xfId="0" applyFont="1" applyBorder="1"/>
    <xf numFmtId="0" fontId="0" fillId="0" borderId="21" xfId="0" applyFill="1" applyBorder="1"/>
    <xf numFmtId="0" fontId="0" fillId="4" borderId="21" xfId="0" applyFill="1" applyBorder="1"/>
    <xf numFmtId="0" fontId="0" fillId="0" borderId="31" xfId="0" applyBorder="1"/>
    <xf numFmtId="0" fontId="0" fillId="0" borderId="43" xfId="0" applyBorder="1"/>
    <xf numFmtId="0" fontId="12" fillId="0" borderId="21" xfId="0" applyFont="1" applyBorder="1" applyAlignment="1">
      <alignment horizontal="left" vertical="center" indent="1"/>
    </xf>
    <xf numFmtId="0" fontId="12" fillId="0" borderId="43" xfId="0" applyFont="1" applyBorder="1" applyAlignment="1">
      <alignment horizontal="left" vertical="center" indent="1"/>
    </xf>
    <xf numFmtId="0" fontId="12" fillId="4" borderId="21" xfId="0" applyFont="1" applyFill="1" applyBorder="1"/>
    <xf numFmtId="0" fontId="12" fillId="0" borderId="21" xfId="0" applyFont="1" applyFill="1" applyBorder="1" applyAlignment="1">
      <alignment horizontal="left" vertical="center" indent="1"/>
    </xf>
    <xf numFmtId="0" fontId="12" fillId="0" borderId="31" xfId="0" applyFont="1" applyBorder="1" applyAlignment="1">
      <alignment horizontal="left" vertical="center" indent="1"/>
    </xf>
    <xf numFmtId="0" fontId="12" fillId="0" borderId="0" xfId="0" applyFont="1" applyFill="1" applyBorder="1" applyAlignment="1">
      <alignment horizontal="left" vertical="center" indent="1"/>
    </xf>
    <xf numFmtId="0" fontId="0" fillId="0" borderId="44" xfId="0" applyBorder="1"/>
    <xf numFmtId="0" fontId="12" fillId="0" borderId="43" xfId="0" applyFont="1" applyBorder="1"/>
    <xf numFmtId="0" fontId="0" fillId="0" borderId="0" xfId="0" applyBorder="1"/>
    <xf numFmtId="0" fontId="2" fillId="0" borderId="1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 indent="1"/>
    </xf>
    <xf numFmtId="0" fontId="2" fillId="0" borderId="10" xfId="0" applyFont="1" applyBorder="1" applyAlignment="1">
      <alignment horizontal="left" vertical="center" wrapText="1" indent="1"/>
    </xf>
    <xf numFmtId="0" fontId="2" fillId="0" borderId="11" xfId="0" applyFont="1" applyBorder="1" applyAlignment="1">
      <alignment horizontal="left" vertical="center" wrapText="1" indent="1"/>
    </xf>
    <xf numFmtId="0" fontId="2" fillId="0" borderId="17" xfId="0" applyFont="1" applyBorder="1" applyAlignment="1">
      <alignment horizontal="left" vertical="center" wrapText="1" indent="1"/>
    </xf>
    <xf numFmtId="0" fontId="2" fillId="0" borderId="18" xfId="0" applyFont="1" applyBorder="1" applyAlignment="1">
      <alignment horizontal="left" vertical="center" wrapText="1" indent="1"/>
    </xf>
    <xf numFmtId="0" fontId="2" fillId="0" borderId="19" xfId="0" applyFont="1" applyBorder="1" applyAlignment="1">
      <alignment horizontal="left" vertical="center" wrapText="1" indent="1"/>
    </xf>
    <xf numFmtId="0" fontId="2" fillId="0" borderId="1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26" xfId="0" applyBorder="1" applyAlignment="1">
      <alignment horizontal="center" vertical="center"/>
    </xf>
    <xf numFmtId="0" fontId="2" fillId="0" borderId="27" xfId="0" applyFont="1" applyBorder="1" applyAlignment="1">
      <alignment horizontal="left" vertical="center" wrapText="1" indent="1"/>
    </xf>
    <xf numFmtId="0" fontId="2" fillId="0" borderId="28" xfId="0" applyFont="1" applyBorder="1" applyAlignment="1">
      <alignment horizontal="left" vertical="center" wrapText="1" indent="1"/>
    </xf>
    <xf numFmtId="0" fontId="2" fillId="0" borderId="29" xfId="0" applyFont="1" applyBorder="1" applyAlignment="1">
      <alignment horizontal="left" vertical="center" wrapText="1" indent="1"/>
    </xf>
    <xf numFmtId="0" fontId="2" fillId="0" borderId="28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 shrinkToFit="1"/>
    </xf>
    <xf numFmtId="0" fontId="1" fillId="0" borderId="39" xfId="0" applyFont="1" applyBorder="1" applyAlignment="1">
      <alignment horizontal="center" vertical="center" shrinkToFit="1"/>
    </xf>
    <xf numFmtId="0" fontId="1" fillId="0" borderId="42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0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B2" sqref="B2:B20"/>
    </sheetView>
  </sheetViews>
  <sheetFormatPr defaultRowHeight="15" x14ac:dyDescent="0.25"/>
  <cols>
    <col min="2" max="2" width="26.42578125" bestFit="1" customWidth="1"/>
    <col min="3" max="3" width="16.140625" bestFit="1" customWidth="1"/>
    <col min="4" max="4" width="6.7109375" customWidth="1"/>
    <col min="5" max="5" width="10.5703125" customWidth="1"/>
  </cols>
  <sheetData>
    <row r="1" spans="1:5" ht="30" x14ac:dyDescent="0.25">
      <c r="A1" s="45"/>
      <c r="B1" s="45"/>
      <c r="C1" s="45" t="s">
        <v>56</v>
      </c>
      <c r="D1" s="45" t="s">
        <v>57</v>
      </c>
      <c r="E1" s="46" t="s">
        <v>58</v>
      </c>
    </row>
    <row r="2" spans="1:5" x14ac:dyDescent="0.25">
      <c r="A2" s="45">
        <v>1</v>
      </c>
      <c r="B2" s="52" t="s">
        <v>19</v>
      </c>
      <c r="C2" s="45" t="s">
        <v>63</v>
      </c>
      <c r="D2" s="45">
        <v>33</v>
      </c>
      <c r="E2" s="45">
        <v>0</v>
      </c>
    </row>
    <row r="3" spans="1:5" x14ac:dyDescent="0.25">
      <c r="A3" s="45">
        <v>2</v>
      </c>
      <c r="B3" s="52" t="s">
        <v>64</v>
      </c>
      <c r="C3" s="45" t="s">
        <v>62</v>
      </c>
      <c r="D3" s="45">
        <v>23</v>
      </c>
      <c r="E3" s="45">
        <v>0</v>
      </c>
    </row>
    <row r="4" spans="1:5" x14ac:dyDescent="0.25">
      <c r="A4" s="45">
        <v>3</v>
      </c>
      <c r="B4" s="52" t="s">
        <v>65</v>
      </c>
      <c r="C4" s="45" t="s">
        <v>62</v>
      </c>
      <c r="D4" s="45"/>
      <c r="E4" s="45">
        <v>290</v>
      </c>
    </row>
    <row r="5" spans="1:5" x14ac:dyDescent="0.25">
      <c r="A5" s="45">
        <v>4</v>
      </c>
      <c r="B5" s="52" t="s">
        <v>66</v>
      </c>
      <c r="C5" s="45" t="s">
        <v>62</v>
      </c>
      <c r="D5" s="45"/>
      <c r="E5" s="45">
        <v>255</v>
      </c>
    </row>
    <row r="6" spans="1:5" x14ac:dyDescent="0.25">
      <c r="A6" s="45">
        <v>5</v>
      </c>
      <c r="B6" s="52" t="s">
        <v>67</v>
      </c>
      <c r="C6" s="45" t="s">
        <v>59</v>
      </c>
      <c r="D6" s="45"/>
      <c r="E6" s="45">
        <v>250</v>
      </c>
    </row>
    <row r="7" spans="1:5" ht="15.75" thickBot="1" x14ac:dyDescent="0.3">
      <c r="A7" s="50">
        <v>6</v>
      </c>
      <c r="B7" s="56" t="s">
        <v>13</v>
      </c>
      <c r="C7" s="50" t="s">
        <v>62</v>
      </c>
      <c r="D7" s="50"/>
      <c r="E7" s="50">
        <v>213.6</v>
      </c>
    </row>
    <row r="8" spans="1:5" x14ac:dyDescent="0.25">
      <c r="A8" s="51">
        <v>7</v>
      </c>
      <c r="B8" s="53" t="s">
        <v>68</v>
      </c>
      <c r="C8" s="51" t="s">
        <v>60</v>
      </c>
      <c r="D8" s="51"/>
      <c r="E8" s="51">
        <v>197</v>
      </c>
    </row>
    <row r="9" spans="1:5" x14ac:dyDescent="0.25">
      <c r="A9" s="45">
        <v>8</v>
      </c>
      <c r="B9" s="52" t="s">
        <v>16</v>
      </c>
      <c r="C9" s="45" t="s">
        <v>62</v>
      </c>
      <c r="D9" s="45"/>
      <c r="E9" s="45">
        <v>180</v>
      </c>
    </row>
    <row r="10" spans="1:5" x14ac:dyDescent="0.25">
      <c r="A10" s="45">
        <v>9</v>
      </c>
      <c r="B10" s="52" t="s">
        <v>69</v>
      </c>
      <c r="C10" s="49" t="s">
        <v>60</v>
      </c>
      <c r="D10" s="45"/>
      <c r="E10" s="45">
        <v>160</v>
      </c>
    </row>
    <row r="11" spans="1:5" x14ac:dyDescent="0.25">
      <c r="A11" s="45">
        <v>10</v>
      </c>
      <c r="B11" s="52" t="s">
        <v>70</v>
      </c>
      <c r="C11" s="49" t="s">
        <v>60</v>
      </c>
      <c r="D11" s="45"/>
      <c r="E11" s="45">
        <v>129</v>
      </c>
    </row>
    <row r="12" spans="1:5" x14ac:dyDescent="0.25">
      <c r="A12" s="45">
        <v>11</v>
      </c>
      <c r="B12" s="52" t="s">
        <v>24</v>
      </c>
      <c r="C12" s="49" t="s">
        <v>60</v>
      </c>
      <c r="D12" s="45"/>
      <c r="E12" s="45">
        <v>100</v>
      </c>
    </row>
    <row r="13" spans="1:5" x14ac:dyDescent="0.25">
      <c r="A13" s="45">
        <v>12</v>
      </c>
      <c r="B13" s="47" t="s">
        <v>71</v>
      </c>
      <c r="C13" s="54" t="s">
        <v>72</v>
      </c>
      <c r="D13" s="47"/>
      <c r="E13" s="48">
        <v>94</v>
      </c>
    </row>
    <row r="14" spans="1:5" x14ac:dyDescent="0.25">
      <c r="A14" s="45">
        <v>13</v>
      </c>
      <c r="B14" s="52" t="s">
        <v>73</v>
      </c>
      <c r="C14" s="49" t="s">
        <v>62</v>
      </c>
      <c r="D14" s="45"/>
      <c r="E14" s="45">
        <v>24</v>
      </c>
    </row>
    <row r="15" spans="1:5" x14ac:dyDescent="0.25">
      <c r="A15" s="45">
        <v>14</v>
      </c>
      <c r="B15" s="52" t="s">
        <v>74</v>
      </c>
      <c r="C15" s="49" t="s">
        <v>61</v>
      </c>
      <c r="D15" s="45"/>
      <c r="E15" s="45">
        <v>0</v>
      </c>
    </row>
    <row r="16" spans="1:5" x14ac:dyDescent="0.25">
      <c r="A16" s="45">
        <v>15</v>
      </c>
      <c r="B16" s="52" t="s">
        <v>23</v>
      </c>
      <c r="C16" s="49" t="s">
        <v>62</v>
      </c>
      <c r="D16" s="45"/>
      <c r="E16" s="45">
        <v>0</v>
      </c>
    </row>
    <row r="17" spans="1:5" x14ac:dyDescent="0.25">
      <c r="A17" s="45">
        <v>16</v>
      </c>
      <c r="B17" s="52" t="s">
        <v>75</v>
      </c>
      <c r="C17" s="49" t="s">
        <v>61</v>
      </c>
      <c r="D17" s="45"/>
      <c r="E17" s="45">
        <v>0</v>
      </c>
    </row>
    <row r="18" spans="1:5" x14ac:dyDescent="0.25">
      <c r="A18" s="45">
        <v>17</v>
      </c>
      <c r="B18" s="52" t="s">
        <v>76</v>
      </c>
      <c r="C18" s="49" t="s">
        <v>61</v>
      </c>
      <c r="D18" s="45"/>
      <c r="E18" s="45">
        <v>0</v>
      </c>
    </row>
    <row r="19" spans="1:5" x14ac:dyDescent="0.25">
      <c r="A19" s="45">
        <v>18</v>
      </c>
      <c r="B19" s="52" t="s">
        <v>77</v>
      </c>
      <c r="C19" s="49" t="s">
        <v>61</v>
      </c>
      <c r="D19" s="45"/>
      <c r="E19" s="45">
        <v>0</v>
      </c>
    </row>
    <row r="20" spans="1:5" x14ac:dyDescent="0.25">
      <c r="A20" s="45">
        <v>19</v>
      </c>
      <c r="B20" s="55" t="s">
        <v>22</v>
      </c>
      <c r="C20" s="49" t="s">
        <v>61</v>
      </c>
      <c r="D20" s="48"/>
      <c r="E20" s="48">
        <v>0</v>
      </c>
    </row>
    <row r="21" spans="1:5" x14ac:dyDescent="0.25">
      <c r="A21" s="45">
        <v>20</v>
      </c>
      <c r="B21" s="48"/>
      <c r="C21" s="49"/>
      <c r="D21" s="48"/>
      <c r="E21" s="4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topLeftCell="A15" workbookViewId="0">
      <selection activeCell="B46" sqref="B46"/>
    </sheetView>
  </sheetViews>
  <sheetFormatPr defaultRowHeight="15" x14ac:dyDescent="0.25"/>
  <cols>
    <col min="1" max="1" width="4" style="28" customWidth="1"/>
    <col min="2" max="15" width="10.28515625" customWidth="1"/>
  </cols>
  <sheetData>
    <row r="1" spans="2:14" ht="59.25" customHeight="1" x14ac:dyDescent="0.25">
      <c r="B1" s="63" t="s">
        <v>36</v>
      </c>
      <c r="C1" s="63"/>
      <c r="D1" s="63"/>
      <c r="E1" s="63"/>
      <c r="F1" s="63"/>
      <c r="G1" s="63"/>
      <c r="H1" s="63"/>
      <c r="I1" s="63"/>
      <c r="J1" s="63"/>
      <c r="K1" s="63"/>
    </row>
    <row r="2" spans="2:14" ht="19.5" thickBot="1" x14ac:dyDescent="0.35">
      <c r="B2" s="35" t="s">
        <v>11</v>
      </c>
    </row>
    <row r="3" spans="2:14" ht="30" customHeight="1" thickBot="1" x14ac:dyDescent="0.3">
      <c r="B3" s="1"/>
      <c r="C3" s="64" t="s">
        <v>0</v>
      </c>
      <c r="D3" s="65"/>
      <c r="E3" s="66"/>
      <c r="F3" s="2">
        <v>1</v>
      </c>
      <c r="G3" s="2">
        <v>2</v>
      </c>
      <c r="H3" s="2">
        <v>3</v>
      </c>
      <c r="I3" s="3">
        <v>4</v>
      </c>
      <c r="J3" s="3">
        <v>5</v>
      </c>
      <c r="K3" s="3">
        <v>6</v>
      </c>
      <c r="L3" s="4" t="s">
        <v>1</v>
      </c>
      <c r="M3" s="2" t="s">
        <v>2</v>
      </c>
      <c r="N3" s="5" t="s">
        <v>3</v>
      </c>
    </row>
    <row r="4" spans="2:14" ht="24" customHeight="1" x14ac:dyDescent="0.25">
      <c r="B4" s="67">
        <v>1</v>
      </c>
      <c r="C4" s="69" t="s">
        <v>12</v>
      </c>
      <c r="D4" s="70"/>
      <c r="E4" s="71"/>
      <c r="F4" s="6" t="s">
        <v>4</v>
      </c>
      <c r="G4" s="7" t="str">
        <f ca="1">INDIRECT(ADDRESS(27,6))&amp;":"&amp;INDIRECT(ADDRESS(27,7))</f>
        <v>13:4</v>
      </c>
      <c r="H4" s="7" t="str">
        <f ca="1">INDIRECT(ADDRESS(31,7))&amp;":"&amp;INDIRECT(ADDRESS(31,6))</f>
        <v>13:6</v>
      </c>
      <c r="I4" s="7" t="str">
        <f ca="1">INDIRECT(ADDRESS(36,6))&amp;":"&amp;INDIRECT(ADDRESS(36,7))</f>
        <v>13:9</v>
      </c>
      <c r="J4" s="7" t="str">
        <f ca="1">INDIRECT(ADDRESS(42,7))&amp;":"&amp;INDIRECT(ADDRESS(42,6))</f>
        <v>13:9</v>
      </c>
      <c r="K4" s="8" t="str">
        <f ca="1">INDIRECT(ADDRESS(20,6))&amp;":"&amp;INDIRECT(ADDRESS(20,7))</f>
        <v>13:11</v>
      </c>
      <c r="L4" s="75">
        <f ca="1">IF(COUNT(F5:K5)=0,"",COUNTIF(F5:K5,"&gt;0")+0.5*COUNTIF(F5:K5,0))</f>
        <v>5</v>
      </c>
      <c r="M4" s="9"/>
      <c r="N4" s="61">
        <v>1</v>
      </c>
    </row>
    <row r="5" spans="2:14" ht="24" customHeight="1" x14ac:dyDescent="0.25">
      <c r="B5" s="68"/>
      <c r="C5" s="72"/>
      <c r="D5" s="73"/>
      <c r="E5" s="74"/>
      <c r="F5" s="10" t="s">
        <v>4</v>
      </c>
      <c r="G5" s="11">
        <f ca="1">IF(LEN(INDIRECT(ADDRESS(ROW()-1, COLUMN())))=1,"",INDIRECT(ADDRESS(27,6))-INDIRECT(ADDRESS(27,7)))</f>
        <v>9</v>
      </c>
      <c r="H5" s="11">
        <f ca="1">IF(LEN(INDIRECT(ADDRESS(ROW()-1, COLUMN())))=1,"",INDIRECT(ADDRESS(31,7))-INDIRECT(ADDRESS(31,6)))</f>
        <v>7</v>
      </c>
      <c r="I5" s="11">
        <f ca="1">IF(LEN(INDIRECT(ADDRESS(ROW()-1, COLUMN())))=1,"",INDIRECT(ADDRESS(36,6))-INDIRECT(ADDRESS(36,7)))</f>
        <v>4</v>
      </c>
      <c r="J5" s="11">
        <f ca="1">IF(LEN(INDIRECT(ADDRESS(ROW()-1, COLUMN())))=1,"",INDIRECT(ADDRESS(42,7))-INDIRECT(ADDRESS(42,6)))</f>
        <v>4</v>
      </c>
      <c r="K5" s="12">
        <f ca="1">IF(LEN(INDIRECT(ADDRESS(ROW()-1, COLUMN())))=1,"",INDIRECT(ADDRESS(20,6))-INDIRECT(ADDRESS(20,7)))</f>
        <v>2</v>
      </c>
      <c r="L5" s="76"/>
      <c r="M5" s="11">
        <f ca="1">IF(COUNT(F5:K5)=0,"",SUM(F5:K5))</f>
        <v>26</v>
      </c>
      <c r="N5" s="62"/>
    </row>
    <row r="6" spans="2:14" ht="24" customHeight="1" x14ac:dyDescent="0.25">
      <c r="B6" s="77">
        <v>2</v>
      </c>
      <c r="C6" s="72" t="s">
        <v>13</v>
      </c>
      <c r="D6" s="73"/>
      <c r="E6" s="74"/>
      <c r="F6" s="13" t="str">
        <f ca="1">INDIRECT(ADDRESS(27,7))&amp;":"&amp;INDIRECT(ADDRESS(27,6))</f>
        <v>4:13</v>
      </c>
      <c r="G6" s="14" t="s">
        <v>4</v>
      </c>
      <c r="H6" s="15" t="str">
        <f ca="1">INDIRECT(ADDRESS(37,6))&amp;":"&amp;INDIRECT(ADDRESS(37,7))</f>
        <v>13:2</v>
      </c>
      <c r="I6" s="15" t="str">
        <f ca="1">INDIRECT(ADDRESS(41,7))&amp;":"&amp;INDIRECT(ADDRESS(41,6))</f>
        <v>13:10</v>
      </c>
      <c r="J6" s="15" t="str">
        <f ca="1">INDIRECT(ADDRESS(21,6))&amp;":"&amp;INDIRECT(ADDRESS(21,7))</f>
        <v>11:10</v>
      </c>
      <c r="K6" s="16" t="str">
        <f ca="1">INDIRECT(ADDRESS(30,6))&amp;":"&amp;INDIRECT(ADDRESS(30,7))</f>
        <v>3:13</v>
      </c>
      <c r="L6" s="76">
        <f ca="1">IF(COUNT(F7:K7)=0,"",COUNTIF(F7:K7,"&gt;0")+0.5*COUNTIF(F7:K7,0))</f>
        <v>3</v>
      </c>
      <c r="M6" s="11"/>
      <c r="N6" s="78">
        <v>2</v>
      </c>
    </row>
    <row r="7" spans="2:14" ht="24" customHeight="1" x14ac:dyDescent="0.25">
      <c r="B7" s="68"/>
      <c r="C7" s="72"/>
      <c r="D7" s="73"/>
      <c r="E7" s="74"/>
      <c r="F7" s="17">
        <f ca="1">IF(LEN(INDIRECT(ADDRESS(ROW()-1, COLUMN())))=1,"",INDIRECT(ADDRESS(27,7))-INDIRECT(ADDRESS(27,6)))</f>
        <v>-9</v>
      </c>
      <c r="G7" s="18" t="s">
        <v>4</v>
      </c>
      <c r="H7" s="11">
        <f ca="1">IF(LEN(INDIRECT(ADDRESS(ROW()-1, COLUMN())))=1,"",INDIRECT(ADDRESS(37,6))-INDIRECT(ADDRESS(37,7)))</f>
        <v>11</v>
      </c>
      <c r="I7" s="11">
        <f ca="1">IF(LEN(INDIRECT(ADDRESS(ROW()-1, COLUMN())))=1,"",INDIRECT(ADDRESS(41,7))-INDIRECT(ADDRESS(41,6)))</f>
        <v>3</v>
      </c>
      <c r="J7" s="11">
        <f ca="1">IF(LEN(INDIRECT(ADDRESS(ROW()-1, COLUMN())))=1,"",INDIRECT(ADDRESS(21,6))-INDIRECT(ADDRESS(21,7)))</f>
        <v>1</v>
      </c>
      <c r="K7" s="12">
        <f ca="1">IF(LEN(INDIRECT(ADDRESS(ROW()-1, COLUMN())))=1,"",INDIRECT(ADDRESS(30,6))-INDIRECT(ADDRESS(30,7)))</f>
        <v>-10</v>
      </c>
      <c r="L7" s="76"/>
      <c r="M7" s="11">
        <f ca="1">IF(COUNT(F7:K7)=0,"",SUM(F7:K7))</f>
        <v>-4</v>
      </c>
      <c r="N7" s="62"/>
    </row>
    <row r="8" spans="2:14" ht="24" customHeight="1" x14ac:dyDescent="0.25">
      <c r="B8" s="77">
        <v>3</v>
      </c>
      <c r="C8" s="72" t="s">
        <v>14</v>
      </c>
      <c r="D8" s="73"/>
      <c r="E8" s="74"/>
      <c r="F8" s="13" t="str">
        <f ca="1">INDIRECT(ADDRESS(31,6))&amp;":"&amp;INDIRECT(ADDRESS(31,7))</f>
        <v>6:13</v>
      </c>
      <c r="G8" s="15" t="str">
        <f ca="1">INDIRECT(ADDRESS(37,7))&amp;":"&amp;INDIRECT(ADDRESS(37,6))</f>
        <v>2:13</v>
      </c>
      <c r="H8" s="14" t="s">
        <v>4</v>
      </c>
      <c r="I8" s="15" t="str">
        <f ca="1">INDIRECT(ADDRESS(22,6))&amp;":"&amp;INDIRECT(ADDRESS(22,7))</f>
        <v>13:6</v>
      </c>
      <c r="J8" s="15" t="str">
        <f ca="1">INDIRECT(ADDRESS(26,7))&amp;":"&amp;INDIRECT(ADDRESS(26,6))</f>
        <v>9:8</v>
      </c>
      <c r="K8" s="16" t="str">
        <f ca="1">INDIRECT(ADDRESS(40,6))&amp;":"&amp;INDIRECT(ADDRESS(40,7))</f>
        <v>13:12</v>
      </c>
      <c r="L8" s="76">
        <f ca="1">IF(COUNT(F9:K9)=0,"",COUNTIF(F9:K9,"&gt;0")+0.5*COUNTIF(F9:K9,0))</f>
        <v>3</v>
      </c>
      <c r="M8" s="11"/>
      <c r="N8" s="78">
        <v>3</v>
      </c>
    </row>
    <row r="9" spans="2:14" ht="24" customHeight="1" x14ac:dyDescent="0.25">
      <c r="B9" s="68"/>
      <c r="C9" s="72"/>
      <c r="D9" s="73"/>
      <c r="E9" s="74"/>
      <c r="F9" s="17">
        <f ca="1">IF(LEN(INDIRECT(ADDRESS(ROW()-1, COLUMN())))=1,"",INDIRECT(ADDRESS(31,6))-INDIRECT(ADDRESS(31,7)))</f>
        <v>-7</v>
      </c>
      <c r="G9" s="11">
        <f ca="1">IF(LEN(INDIRECT(ADDRESS(ROW()-1, COLUMN())))=1,"",INDIRECT(ADDRESS(37,7))-INDIRECT(ADDRESS(37,6)))</f>
        <v>-11</v>
      </c>
      <c r="H9" s="18" t="s">
        <v>4</v>
      </c>
      <c r="I9" s="11">
        <f ca="1">IF(LEN(INDIRECT(ADDRESS(ROW()-1, COLUMN())))=1,"",INDIRECT(ADDRESS(22,6))-INDIRECT(ADDRESS(22,7)))</f>
        <v>7</v>
      </c>
      <c r="J9" s="11">
        <f ca="1">IF(LEN(INDIRECT(ADDRESS(ROW()-1, COLUMN())))=1,"",INDIRECT(ADDRESS(26,7))-INDIRECT(ADDRESS(26,6)))</f>
        <v>1</v>
      </c>
      <c r="K9" s="12">
        <f ca="1">IF(LEN(INDIRECT(ADDRESS(ROW()-1, COLUMN())))=1,"",INDIRECT(ADDRESS(40,6))-INDIRECT(ADDRESS(40,7)))</f>
        <v>1</v>
      </c>
      <c r="L9" s="76"/>
      <c r="M9" s="11">
        <f ca="1">IF(COUNT(F9:K9)=0,"",SUM(F9:K9))</f>
        <v>-9</v>
      </c>
      <c r="N9" s="62"/>
    </row>
    <row r="10" spans="2:14" ht="24" customHeight="1" x14ac:dyDescent="0.25">
      <c r="B10" s="77">
        <v>4</v>
      </c>
      <c r="C10" s="72" t="s">
        <v>15</v>
      </c>
      <c r="D10" s="73"/>
      <c r="E10" s="74"/>
      <c r="F10" s="13" t="str">
        <f ca="1">INDIRECT(ADDRESS(36,7))&amp;":"&amp;INDIRECT(ADDRESS(36,6))</f>
        <v>9:13</v>
      </c>
      <c r="G10" s="15" t="str">
        <f ca="1">INDIRECT(ADDRESS(41,6))&amp;":"&amp;INDIRECT(ADDRESS(41,7))</f>
        <v>10:13</v>
      </c>
      <c r="H10" s="15" t="str">
        <f ca="1">INDIRECT(ADDRESS(22,7))&amp;":"&amp;INDIRECT(ADDRESS(22,6))</f>
        <v>6:13</v>
      </c>
      <c r="I10" s="14" t="s">
        <v>4</v>
      </c>
      <c r="J10" s="15" t="str">
        <f ca="1">INDIRECT(ADDRESS(32,6))&amp;":"&amp;INDIRECT(ADDRESS(32,7))</f>
        <v>12:13</v>
      </c>
      <c r="K10" s="16" t="str">
        <f ca="1">INDIRECT(ADDRESS(25,7))&amp;":"&amp;INDIRECT(ADDRESS(25,6))</f>
        <v>13:6</v>
      </c>
      <c r="L10" s="76">
        <f ca="1">IF(COUNT(F11:K11)=0,"",COUNTIF(F11:K11,"&gt;0")+0.5*COUNTIF(F11:K11,0))</f>
        <v>1</v>
      </c>
      <c r="M10" s="11"/>
      <c r="N10" s="78">
        <v>6</v>
      </c>
    </row>
    <row r="11" spans="2:14" ht="24" customHeight="1" x14ac:dyDescent="0.25">
      <c r="B11" s="68"/>
      <c r="C11" s="72"/>
      <c r="D11" s="73"/>
      <c r="E11" s="74"/>
      <c r="F11" s="17">
        <f ca="1">IF(LEN(INDIRECT(ADDRESS(ROW()-1, COLUMN())))=1,"",INDIRECT(ADDRESS(36,7))-INDIRECT(ADDRESS(36,6)))</f>
        <v>-4</v>
      </c>
      <c r="G11" s="11">
        <f ca="1">IF(LEN(INDIRECT(ADDRESS(ROW()-1, COLUMN())))=1,"",INDIRECT(ADDRESS(41,6))-INDIRECT(ADDRESS(41,7)))</f>
        <v>-3</v>
      </c>
      <c r="H11" s="11">
        <f ca="1">IF(LEN(INDIRECT(ADDRESS(ROW()-1, COLUMN())))=1,"",INDIRECT(ADDRESS(22,7))-INDIRECT(ADDRESS(22,6)))</f>
        <v>-7</v>
      </c>
      <c r="I11" s="18" t="s">
        <v>4</v>
      </c>
      <c r="J11" s="11">
        <f ca="1">IF(LEN(INDIRECT(ADDRESS(ROW()-1, COLUMN())))=1,"",INDIRECT(ADDRESS(32,6))-INDIRECT(ADDRESS(32,7)))</f>
        <v>-1</v>
      </c>
      <c r="K11" s="12">
        <f ca="1">IF(LEN(INDIRECT(ADDRESS(ROW()-1, COLUMN())))=1,"",INDIRECT(ADDRESS(25,7))-INDIRECT(ADDRESS(25,6)))</f>
        <v>7</v>
      </c>
      <c r="L11" s="76"/>
      <c r="M11" s="11">
        <f ca="1">IF(COUNT(F11:K11)=0,"",SUM(F11:K11))</f>
        <v>-8</v>
      </c>
      <c r="N11" s="62"/>
    </row>
    <row r="12" spans="2:14" ht="24" customHeight="1" x14ac:dyDescent="0.25">
      <c r="B12" s="77">
        <v>5</v>
      </c>
      <c r="C12" s="72" t="s">
        <v>16</v>
      </c>
      <c r="D12" s="73"/>
      <c r="E12" s="74"/>
      <c r="F12" s="13" t="str">
        <f ca="1">INDIRECT(ADDRESS(42,6))&amp;":"&amp;INDIRECT(ADDRESS(42,7))</f>
        <v>9:13</v>
      </c>
      <c r="G12" s="15" t="str">
        <f ca="1">INDIRECT(ADDRESS(21,7))&amp;":"&amp;INDIRECT(ADDRESS(21,6))</f>
        <v>10:11</v>
      </c>
      <c r="H12" s="15" t="str">
        <f ca="1">INDIRECT(ADDRESS(26,6))&amp;":"&amp;INDIRECT(ADDRESS(26,7))</f>
        <v>8:9</v>
      </c>
      <c r="I12" s="15" t="str">
        <f ca="1">INDIRECT(ADDRESS(32,7))&amp;":"&amp;INDIRECT(ADDRESS(32,6))</f>
        <v>13:12</v>
      </c>
      <c r="J12" s="14" t="s">
        <v>4</v>
      </c>
      <c r="K12" s="16" t="str">
        <f ca="1">INDIRECT(ADDRESS(35,7))&amp;":"&amp;INDIRECT(ADDRESS(35,6))</f>
        <v>11:13</v>
      </c>
      <c r="L12" s="76">
        <f ca="1">IF(COUNT(F13:K13)=0,"",COUNTIF(F13:K13,"&gt;0")+0.5*COUNTIF(F13:K13,0))</f>
        <v>1</v>
      </c>
      <c r="M12" s="11"/>
      <c r="N12" s="78">
        <v>5</v>
      </c>
    </row>
    <row r="13" spans="2:14" ht="24" customHeight="1" x14ac:dyDescent="0.25">
      <c r="B13" s="68"/>
      <c r="C13" s="72"/>
      <c r="D13" s="73"/>
      <c r="E13" s="74"/>
      <c r="F13" s="17">
        <f ca="1">IF(LEN(INDIRECT(ADDRESS(ROW()-1, COLUMN())))=1,"",INDIRECT(ADDRESS(42,6))-INDIRECT(ADDRESS(42,7)))</f>
        <v>-4</v>
      </c>
      <c r="G13" s="11">
        <f ca="1">IF(LEN(INDIRECT(ADDRESS(ROW()-1, COLUMN())))=1,"",INDIRECT(ADDRESS(21,7))-INDIRECT(ADDRESS(21,6)))</f>
        <v>-1</v>
      </c>
      <c r="H13" s="11">
        <f ca="1">IF(LEN(INDIRECT(ADDRESS(ROW()-1, COLUMN())))=1,"",INDIRECT(ADDRESS(26,6))-INDIRECT(ADDRESS(26,7)))</f>
        <v>-1</v>
      </c>
      <c r="I13" s="11">
        <f ca="1">IF(LEN(INDIRECT(ADDRESS(ROW()-1, COLUMN())))=1,"",INDIRECT(ADDRESS(32,7))-INDIRECT(ADDRESS(32,6)))</f>
        <v>1</v>
      </c>
      <c r="J13" s="18" t="s">
        <v>4</v>
      </c>
      <c r="K13" s="12">
        <f ca="1">IF(LEN(INDIRECT(ADDRESS(ROW()-1, COLUMN())))=1,"",INDIRECT(ADDRESS(35,7))-INDIRECT(ADDRESS(35,6)))</f>
        <v>-2</v>
      </c>
      <c r="L13" s="76"/>
      <c r="M13" s="11">
        <f ca="1">IF(COUNT(F13:K13)=0,"",SUM(F13:K13))</f>
        <v>-7</v>
      </c>
      <c r="N13" s="62"/>
    </row>
    <row r="14" spans="2:14" ht="24" customHeight="1" x14ac:dyDescent="0.25">
      <c r="B14" s="77">
        <v>6</v>
      </c>
      <c r="C14" s="72" t="s">
        <v>17</v>
      </c>
      <c r="D14" s="73"/>
      <c r="E14" s="74"/>
      <c r="F14" s="13" t="str">
        <f ca="1">INDIRECT(ADDRESS(20,7))&amp;":"&amp;INDIRECT(ADDRESS(20,6))</f>
        <v>11:13</v>
      </c>
      <c r="G14" s="15" t="str">
        <f ca="1">INDIRECT(ADDRESS(30,7))&amp;":"&amp;INDIRECT(ADDRESS(30,6))</f>
        <v>13:3</v>
      </c>
      <c r="H14" s="15" t="str">
        <f ca="1">INDIRECT(ADDRESS(40,7))&amp;":"&amp;INDIRECT(ADDRESS(40,6))</f>
        <v>12:13</v>
      </c>
      <c r="I14" s="15" t="str">
        <f ca="1">INDIRECT(ADDRESS(25,6))&amp;":"&amp;INDIRECT(ADDRESS(25,7))</f>
        <v>6:13</v>
      </c>
      <c r="J14" s="15" t="str">
        <f ca="1">INDIRECT(ADDRESS(35,6))&amp;":"&amp;INDIRECT(ADDRESS(35,7))</f>
        <v>13:11</v>
      </c>
      <c r="K14" s="19" t="s">
        <v>4</v>
      </c>
      <c r="L14" s="76">
        <f ca="1">IF(COUNT(F15:K15)=0,"",COUNTIF(F15:K15,"&gt;0")+0.5*COUNTIF(F15:K15,0))</f>
        <v>2</v>
      </c>
      <c r="M14" s="11"/>
      <c r="N14" s="78">
        <v>4</v>
      </c>
    </row>
    <row r="15" spans="2:14" ht="24" customHeight="1" thickBot="1" x14ac:dyDescent="0.3">
      <c r="B15" s="84"/>
      <c r="C15" s="85"/>
      <c r="D15" s="86"/>
      <c r="E15" s="87"/>
      <c r="F15" s="20">
        <f ca="1">IF(LEN(INDIRECT(ADDRESS(ROW()-1, COLUMN())))=1,"",INDIRECT(ADDRESS(20,7))-INDIRECT(ADDRESS(20,6)))</f>
        <v>-2</v>
      </c>
      <c r="G15" s="21">
        <f ca="1">IF(LEN(INDIRECT(ADDRESS(ROW()-1, COLUMN())))=1,"",INDIRECT(ADDRESS(30,7))-INDIRECT(ADDRESS(30,6)))</f>
        <v>10</v>
      </c>
      <c r="H15" s="21">
        <f ca="1">IF(LEN(INDIRECT(ADDRESS(ROW()-1, COLUMN())))=1,"",INDIRECT(ADDRESS(40,7))-INDIRECT(ADDRESS(40,6)))</f>
        <v>-1</v>
      </c>
      <c r="I15" s="21">
        <f ca="1">IF(LEN(INDIRECT(ADDRESS(ROW()-1, COLUMN())))=1,"",INDIRECT(ADDRESS(25,6))-INDIRECT(ADDRESS(25,7)))</f>
        <v>-7</v>
      </c>
      <c r="J15" s="21">
        <f ca="1">IF(LEN(INDIRECT(ADDRESS(ROW()-1, COLUMN())))=1,"",INDIRECT(ADDRESS(35,6))-INDIRECT(ADDRESS(35,7)))</f>
        <v>2</v>
      </c>
      <c r="K15" s="22" t="s">
        <v>4</v>
      </c>
      <c r="L15" s="88"/>
      <c r="M15" s="21">
        <f ca="1">IF(COUNT(F15:K15)=0,"",SUM(F15:K15))</f>
        <v>2</v>
      </c>
      <c r="N15" s="79"/>
    </row>
    <row r="19" spans="2:13" ht="30" customHeight="1" thickBot="1" x14ac:dyDescent="0.3">
      <c r="B19" s="80" t="s">
        <v>5</v>
      </c>
      <c r="C19" s="80"/>
      <c r="D19" s="80"/>
      <c r="E19" s="80"/>
      <c r="F19" s="80"/>
      <c r="G19" s="80"/>
      <c r="H19" s="80"/>
      <c r="I19" s="80"/>
      <c r="J19" s="80"/>
      <c r="K19" s="80"/>
    </row>
    <row r="20" spans="2:13" ht="30" customHeight="1" thickBot="1" x14ac:dyDescent="0.3">
      <c r="B20" s="23">
        <v>1</v>
      </c>
      <c r="C20" s="81" t="str">
        <f ca="1">IF(ISBLANK(INDIRECT(ADDRESS(B20*2+2,3))),"",INDIRECT(ADDRESS(B20*2+2,3)))</f>
        <v>Еремин Павел</v>
      </c>
      <c r="D20" s="81"/>
      <c r="E20" s="82"/>
      <c r="F20" s="24">
        <v>13</v>
      </c>
      <c r="G20" s="25">
        <v>11</v>
      </c>
      <c r="H20" s="83" t="str">
        <f ca="1">IF(ISBLANK(INDIRECT(ADDRESS(K20*2+2,3))),"",INDIRECT(ADDRESS(K20*2+2,3)))</f>
        <v>Раскин Максим</v>
      </c>
      <c r="I20" s="81"/>
      <c r="J20" s="81"/>
      <c r="K20" s="23">
        <v>6</v>
      </c>
      <c r="L20" s="26" t="s">
        <v>6</v>
      </c>
      <c r="M20" s="27">
        <v>10</v>
      </c>
    </row>
    <row r="21" spans="2:13" ht="30" customHeight="1" thickBot="1" x14ac:dyDescent="0.3">
      <c r="B21" s="23">
        <v>2</v>
      </c>
      <c r="C21" s="81" t="str">
        <f ca="1">IF(ISBLANK(INDIRECT(ADDRESS(B21*2+2,3))),"",INDIRECT(ADDRESS(B21*2+2,3)))</f>
        <v>Шустваль Евгений</v>
      </c>
      <c r="D21" s="81"/>
      <c r="E21" s="82"/>
      <c r="F21" s="24">
        <v>11</v>
      </c>
      <c r="G21" s="25">
        <v>10</v>
      </c>
      <c r="H21" s="83" t="str">
        <f ca="1">IF(ISBLANK(INDIRECT(ADDRESS(K21*2+2,3))),"",INDIRECT(ADDRESS(K21*2+2,3)))</f>
        <v>Субанов Руслан</v>
      </c>
      <c r="I21" s="81"/>
      <c r="J21" s="81"/>
      <c r="K21" s="23">
        <v>5</v>
      </c>
      <c r="L21" s="26" t="s">
        <v>6</v>
      </c>
      <c r="M21" s="27">
        <v>11</v>
      </c>
    </row>
    <row r="22" spans="2:13" ht="30" customHeight="1" thickBot="1" x14ac:dyDescent="0.3">
      <c r="B22" s="23">
        <v>3</v>
      </c>
      <c r="C22" s="81" t="str">
        <f ca="1">IF(ISBLANK(INDIRECT(ADDRESS(B22*2+2,3))),"",INDIRECT(ADDRESS(B22*2+2,3)))</f>
        <v>Пищанский Виктор</v>
      </c>
      <c r="D22" s="81"/>
      <c r="E22" s="82"/>
      <c r="F22" s="24">
        <v>13</v>
      </c>
      <c r="G22" s="25">
        <v>6</v>
      </c>
      <c r="H22" s="83" t="str">
        <f ca="1">IF(ISBLANK(INDIRECT(ADDRESS(K22*2+2,3))),"",INDIRECT(ADDRESS(K22*2+2,3)))</f>
        <v>Возный Николай</v>
      </c>
      <c r="I22" s="81"/>
      <c r="J22" s="81"/>
      <c r="K22" s="23">
        <v>4</v>
      </c>
      <c r="L22" s="26" t="s">
        <v>6</v>
      </c>
      <c r="M22" s="27">
        <v>12</v>
      </c>
    </row>
    <row r="23" spans="2:13" ht="30" customHeight="1" x14ac:dyDescent="0.25"/>
    <row r="24" spans="2:13" ht="30" customHeight="1" thickBot="1" x14ac:dyDescent="0.3">
      <c r="B24" s="80" t="s">
        <v>7</v>
      </c>
      <c r="C24" s="80"/>
      <c r="D24" s="80"/>
      <c r="E24" s="80"/>
      <c r="F24" s="80"/>
      <c r="G24" s="80"/>
      <c r="H24" s="80"/>
      <c r="I24" s="80"/>
      <c r="J24" s="80"/>
      <c r="K24" s="80"/>
    </row>
    <row r="25" spans="2:13" ht="30" customHeight="1" thickBot="1" x14ac:dyDescent="0.3">
      <c r="B25" s="23">
        <v>6</v>
      </c>
      <c r="C25" s="81" t="str">
        <f ca="1">IF(ISBLANK(INDIRECT(ADDRESS(B25*2+2,3))),"",INDIRECT(ADDRESS(B25*2+2,3)))</f>
        <v>Раскин Максим</v>
      </c>
      <c r="D25" s="81"/>
      <c r="E25" s="82"/>
      <c r="F25" s="24">
        <v>6</v>
      </c>
      <c r="G25" s="25">
        <v>13</v>
      </c>
      <c r="H25" s="83" t="str">
        <f ca="1">IF(ISBLANK(INDIRECT(ADDRESS(K25*2+2,3))),"",INDIRECT(ADDRESS(K25*2+2,3)))</f>
        <v>Возный Николай</v>
      </c>
      <c r="I25" s="81"/>
      <c r="J25" s="81"/>
      <c r="K25" s="23">
        <v>4</v>
      </c>
      <c r="L25" s="26" t="s">
        <v>6</v>
      </c>
      <c r="M25" s="27">
        <v>13</v>
      </c>
    </row>
    <row r="26" spans="2:13" ht="30" customHeight="1" thickBot="1" x14ac:dyDescent="0.3">
      <c r="B26" s="23">
        <v>5</v>
      </c>
      <c r="C26" s="81" t="str">
        <f ca="1">IF(ISBLANK(INDIRECT(ADDRESS(B26*2+2,3))),"",INDIRECT(ADDRESS(B26*2+2,3)))</f>
        <v>Субанов Руслан</v>
      </c>
      <c r="D26" s="81"/>
      <c r="E26" s="82"/>
      <c r="F26" s="24">
        <v>8</v>
      </c>
      <c r="G26" s="25">
        <v>9</v>
      </c>
      <c r="H26" s="83" t="str">
        <f ca="1">IF(ISBLANK(INDIRECT(ADDRESS(K26*2+2,3))),"",INDIRECT(ADDRESS(K26*2+2,3)))</f>
        <v>Пищанский Виктор</v>
      </c>
      <c r="I26" s="81"/>
      <c r="J26" s="81"/>
      <c r="K26" s="23">
        <v>3</v>
      </c>
      <c r="L26" s="26" t="s">
        <v>6</v>
      </c>
      <c r="M26" s="27">
        <v>14</v>
      </c>
    </row>
    <row r="27" spans="2:13" ht="30" customHeight="1" thickBot="1" x14ac:dyDescent="0.3">
      <c r="B27" s="23">
        <v>1</v>
      </c>
      <c r="C27" s="81" t="str">
        <f ca="1">IF(ISBLANK(INDIRECT(ADDRESS(B27*2+2,3))),"",INDIRECT(ADDRESS(B27*2+2,3)))</f>
        <v>Еремин Павел</v>
      </c>
      <c r="D27" s="81"/>
      <c r="E27" s="82"/>
      <c r="F27" s="24">
        <v>13</v>
      </c>
      <c r="G27" s="25">
        <v>4</v>
      </c>
      <c r="H27" s="83" t="str">
        <f ca="1">IF(ISBLANK(INDIRECT(ADDRESS(K27*2+2,3))),"",INDIRECT(ADDRESS(K27*2+2,3)))</f>
        <v>Шустваль Евгений</v>
      </c>
      <c r="I27" s="81"/>
      <c r="J27" s="81"/>
      <c r="K27" s="23">
        <v>2</v>
      </c>
      <c r="L27" s="26" t="s">
        <v>6</v>
      </c>
      <c r="M27" s="27">
        <v>15</v>
      </c>
    </row>
    <row r="28" spans="2:13" ht="30" customHeight="1" x14ac:dyDescent="0.25"/>
    <row r="29" spans="2:13" ht="30" customHeight="1" thickBot="1" x14ac:dyDescent="0.3">
      <c r="B29" s="80" t="s">
        <v>8</v>
      </c>
      <c r="C29" s="80"/>
      <c r="D29" s="80"/>
      <c r="E29" s="80"/>
      <c r="F29" s="80"/>
      <c r="G29" s="80"/>
      <c r="H29" s="80"/>
      <c r="I29" s="80"/>
      <c r="J29" s="80"/>
      <c r="K29" s="80"/>
    </row>
    <row r="30" spans="2:13" ht="30" customHeight="1" thickBot="1" x14ac:dyDescent="0.3">
      <c r="B30" s="23">
        <v>2</v>
      </c>
      <c r="C30" s="81" t="str">
        <f ca="1">IF(ISBLANK(INDIRECT(ADDRESS(B30*2+2,3))),"",INDIRECT(ADDRESS(B30*2+2,3)))</f>
        <v>Шустваль Евгений</v>
      </c>
      <c r="D30" s="81"/>
      <c r="E30" s="82"/>
      <c r="F30" s="24">
        <v>3</v>
      </c>
      <c r="G30" s="25">
        <v>13</v>
      </c>
      <c r="H30" s="83" t="str">
        <f ca="1">IF(ISBLANK(INDIRECT(ADDRESS(K30*2+2,3))),"",INDIRECT(ADDRESS(K30*2+2,3)))</f>
        <v>Раскин Максим</v>
      </c>
      <c r="I30" s="81"/>
      <c r="J30" s="81"/>
      <c r="K30" s="23">
        <v>6</v>
      </c>
      <c r="L30" s="26" t="s">
        <v>6</v>
      </c>
      <c r="M30" s="27">
        <v>16</v>
      </c>
    </row>
    <row r="31" spans="2:13" ht="30" customHeight="1" thickBot="1" x14ac:dyDescent="0.3">
      <c r="B31" s="23">
        <v>3</v>
      </c>
      <c r="C31" s="81" t="str">
        <f ca="1">IF(ISBLANK(INDIRECT(ADDRESS(B31*2+2,3))),"",INDIRECT(ADDRESS(B31*2+2,3)))</f>
        <v>Пищанский Виктор</v>
      </c>
      <c r="D31" s="81"/>
      <c r="E31" s="82"/>
      <c r="F31" s="24">
        <v>6</v>
      </c>
      <c r="G31" s="25">
        <v>13</v>
      </c>
      <c r="H31" s="83" t="str">
        <f ca="1">IF(ISBLANK(INDIRECT(ADDRESS(K31*2+2,3))),"",INDIRECT(ADDRESS(K31*2+2,3)))</f>
        <v>Еремин Павел</v>
      </c>
      <c r="I31" s="81"/>
      <c r="J31" s="81"/>
      <c r="K31" s="23">
        <v>1</v>
      </c>
      <c r="L31" s="26" t="s">
        <v>6</v>
      </c>
      <c r="M31" s="27">
        <v>17</v>
      </c>
    </row>
    <row r="32" spans="2:13" ht="30" customHeight="1" thickBot="1" x14ac:dyDescent="0.3">
      <c r="B32" s="23">
        <v>4</v>
      </c>
      <c r="C32" s="81" t="str">
        <f ca="1">IF(ISBLANK(INDIRECT(ADDRESS(B32*2+2,3))),"",INDIRECT(ADDRESS(B32*2+2,3)))</f>
        <v>Возный Николай</v>
      </c>
      <c r="D32" s="81"/>
      <c r="E32" s="82"/>
      <c r="F32" s="24">
        <v>12</v>
      </c>
      <c r="G32" s="25">
        <v>13</v>
      </c>
      <c r="H32" s="83" t="str">
        <f ca="1">IF(ISBLANK(INDIRECT(ADDRESS(K32*2+2,3))),"",INDIRECT(ADDRESS(K32*2+2,3)))</f>
        <v>Субанов Руслан</v>
      </c>
      <c r="I32" s="81"/>
      <c r="J32" s="81"/>
      <c r="K32" s="23">
        <v>5</v>
      </c>
      <c r="L32" s="26" t="s">
        <v>6</v>
      </c>
      <c r="M32" s="27">
        <v>18</v>
      </c>
    </row>
    <row r="33" spans="2:13" ht="30" customHeight="1" x14ac:dyDescent="0.25"/>
    <row r="34" spans="2:13" ht="30" customHeight="1" thickBot="1" x14ac:dyDescent="0.3">
      <c r="B34" s="80" t="s">
        <v>9</v>
      </c>
      <c r="C34" s="80"/>
      <c r="D34" s="80"/>
      <c r="E34" s="80"/>
      <c r="F34" s="80"/>
      <c r="G34" s="80"/>
      <c r="H34" s="80"/>
      <c r="I34" s="80"/>
      <c r="J34" s="80"/>
      <c r="K34" s="80"/>
    </row>
    <row r="35" spans="2:13" ht="30" customHeight="1" thickBot="1" x14ac:dyDescent="0.3">
      <c r="B35" s="23">
        <v>6</v>
      </c>
      <c r="C35" s="81" t="str">
        <f ca="1">IF(ISBLANK(INDIRECT(ADDRESS(B35*2+2,3))),"",INDIRECT(ADDRESS(B35*2+2,3)))</f>
        <v>Раскин Максим</v>
      </c>
      <c r="D35" s="81"/>
      <c r="E35" s="82"/>
      <c r="F35" s="24">
        <v>13</v>
      </c>
      <c r="G35" s="25">
        <v>11</v>
      </c>
      <c r="H35" s="83" t="str">
        <f ca="1">IF(ISBLANK(INDIRECT(ADDRESS(K35*2+2,3))),"",INDIRECT(ADDRESS(K35*2+2,3)))</f>
        <v>Субанов Руслан</v>
      </c>
      <c r="I35" s="81"/>
      <c r="J35" s="81"/>
      <c r="K35" s="23">
        <v>5</v>
      </c>
      <c r="L35" s="26" t="s">
        <v>6</v>
      </c>
      <c r="M35" s="27">
        <v>19</v>
      </c>
    </row>
    <row r="36" spans="2:13" ht="30" customHeight="1" thickBot="1" x14ac:dyDescent="0.3">
      <c r="B36" s="23">
        <v>1</v>
      </c>
      <c r="C36" s="81" t="str">
        <f ca="1">IF(ISBLANK(INDIRECT(ADDRESS(B36*2+2,3))),"",INDIRECT(ADDRESS(B36*2+2,3)))</f>
        <v>Еремин Павел</v>
      </c>
      <c r="D36" s="81"/>
      <c r="E36" s="82"/>
      <c r="F36" s="24">
        <v>13</v>
      </c>
      <c r="G36" s="25">
        <v>9</v>
      </c>
      <c r="H36" s="83" t="str">
        <f ca="1">IF(ISBLANK(INDIRECT(ADDRESS(K36*2+2,3))),"",INDIRECT(ADDRESS(K36*2+2,3)))</f>
        <v>Возный Николай</v>
      </c>
      <c r="I36" s="81"/>
      <c r="J36" s="81"/>
      <c r="K36" s="23">
        <v>4</v>
      </c>
      <c r="L36" s="26" t="s">
        <v>6</v>
      </c>
      <c r="M36" s="27">
        <v>1</v>
      </c>
    </row>
    <row r="37" spans="2:13" ht="30" customHeight="1" thickBot="1" x14ac:dyDescent="0.3">
      <c r="B37" s="23">
        <v>2</v>
      </c>
      <c r="C37" s="81" t="str">
        <f ca="1">IF(ISBLANK(INDIRECT(ADDRESS(B37*2+2,3))),"",INDIRECT(ADDRESS(B37*2+2,3)))</f>
        <v>Шустваль Евгений</v>
      </c>
      <c r="D37" s="81"/>
      <c r="E37" s="82"/>
      <c r="F37" s="24">
        <v>13</v>
      </c>
      <c r="G37" s="25">
        <v>2</v>
      </c>
      <c r="H37" s="83" t="str">
        <f ca="1">IF(ISBLANK(INDIRECT(ADDRESS(K37*2+2,3))),"",INDIRECT(ADDRESS(K37*2+2,3)))</f>
        <v>Пищанский Виктор</v>
      </c>
      <c r="I37" s="81"/>
      <c r="J37" s="81"/>
      <c r="K37" s="23">
        <v>3</v>
      </c>
      <c r="L37" s="26" t="s">
        <v>6</v>
      </c>
      <c r="M37" s="27">
        <v>2</v>
      </c>
    </row>
    <row r="38" spans="2:13" ht="30" customHeight="1" x14ac:dyDescent="0.25"/>
    <row r="39" spans="2:13" ht="30" customHeight="1" thickBot="1" x14ac:dyDescent="0.3">
      <c r="B39" s="80" t="s">
        <v>10</v>
      </c>
      <c r="C39" s="80"/>
      <c r="D39" s="80"/>
      <c r="E39" s="80"/>
      <c r="F39" s="80"/>
      <c r="G39" s="80"/>
      <c r="H39" s="80"/>
      <c r="I39" s="80"/>
      <c r="J39" s="80"/>
      <c r="K39" s="80"/>
    </row>
    <row r="40" spans="2:13" ht="30" customHeight="1" thickBot="1" x14ac:dyDescent="0.3">
      <c r="B40" s="23">
        <v>3</v>
      </c>
      <c r="C40" s="81" t="str">
        <f ca="1">IF(ISBLANK(INDIRECT(ADDRESS(B40*2+2,3))),"",INDIRECT(ADDRESS(B40*2+2,3)))</f>
        <v>Пищанский Виктор</v>
      </c>
      <c r="D40" s="81"/>
      <c r="E40" s="82"/>
      <c r="F40" s="24">
        <v>13</v>
      </c>
      <c r="G40" s="25">
        <v>12</v>
      </c>
      <c r="H40" s="83" t="str">
        <f ca="1">IF(ISBLANK(INDIRECT(ADDRESS(K40*2+2,3))),"",INDIRECT(ADDRESS(K40*2+2,3)))</f>
        <v>Раскин Максим</v>
      </c>
      <c r="I40" s="81"/>
      <c r="J40" s="81"/>
      <c r="K40" s="23">
        <v>6</v>
      </c>
      <c r="L40" s="26" t="s">
        <v>6</v>
      </c>
      <c r="M40" s="27">
        <v>4</v>
      </c>
    </row>
    <row r="41" spans="2:13" ht="30" customHeight="1" thickBot="1" x14ac:dyDescent="0.3">
      <c r="B41" s="23">
        <v>4</v>
      </c>
      <c r="C41" s="81" t="str">
        <f ca="1">IF(ISBLANK(INDIRECT(ADDRESS(B41*2+2,3))),"",INDIRECT(ADDRESS(B41*2+2,3)))</f>
        <v>Возный Николай</v>
      </c>
      <c r="D41" s="81"/>
      <c r="E41" s="82"/>
      <c r="F41" s="24">
        <v>10</v>
      </c>
      <c r="G41" s="25">
        <v>13</v>
      </c>
      <c r="H41" s="83" t="str">
        <f ca="1">IF(ISBLANK(INDIRECT(ADDRESS(K41*2+2,3))),"",INDIRECT(ADDRESS(K41*2+2,3)))</f>
        <v>Шустваль Евгений</v>
      </c>
      <c r="I41" s="81"/>
      <c r="J41" s="81"/>
      <c r="K41" s="23">
        <v>2</v>
      </c>
      <c r="L41" s="26" t="s">
        <v>6</v>
      </c>
      <c r="M41" s="27">
        <v>5</v>
      </c>
    </row>
    <row r="42" spans="2:13" ht="30" customHeight="1" thickBot="1" x14ac:dyDescent="0.3">
      <c r="B42" s="23">
        <v>5</v>
      </c>
      <c r="C42" s="81" t="str">
        <f ca="1">IF(ISBLANK(INDIRECT(ADDRESS(B42*2+2,3))),"",INDIRECT(ADDRESS(B42*2+2,3)))</f>
        <v>Субанов Руслан</v>
      </c>
      <c r="D42" s="81"/>
      <c r="E42" s="82"/>
      <c r="F42" s="24">
        <v>9</v>
      </c>
      <c r="G42" s="25">
        <v>13</v>
      </c>
      <c r="H42" s="83" t="str">
        <f ca="1">IF(ISBLANK(INDIRECT(ADDRESS(K42*2+2,3))),"",INDIRECT(ADDRESS(K42*2+2,3)))</f>
        <v>Еремин Павел</v>
      </c>
      <c r="I42" s="81"/>
      <c r="J42" s="81"/>
      <c r="K42" s="23">
        <v>1</v>
      </c>
      <c r="L42" s="26" t="s">
        <v>6</v>
      </c>
      <c r="M42" s="27">
        <v>6</v>
      </c>
    </row>
    <row r="45" spans="2:13" x14ac:dyDescent="0.25">
      <c r="B45" t="s">
        <v>84</v>
      </c>
      <c r="C45" t="s">
        <v>85</v>
      </c>
    </row>
  </sheetData>
  <mergeCells count="61">
    <mergeCell ref="C41:E41"/>
    <mergeCell ref="H41:J41"/>
    <mergeCell ref="C42:E42"/>
    <mergeCell ref="H42:J42"/>
    <mergeCell ref="C36:E36"/>
    <mergeCell ref="H36:J36"/>
    <mergeCell ref="C37:E37"/>
    <mergeCell ref="H37:J37"/>
    <mergeCell ref="B39:K39"/>
    <mergeCell ref="C40:E40"/>
    <mergeCell ref="H40:J40"/>
    <mergeCell ref="C35:E35"/>
    <mergeCell ref="H35:J35"/>
    <mergeCell ref="C26:E26"/>
    <mergeCell ref="H26:J26"/>
    <mergeCell ref="C27:E27"/>
    <mergeCell ref="H27:J27"/>
    <mergeCell ref="B29:K29"/>
    <mergeCell ref="C30:E30"/>
    <mergeCell ref="H30:J30"/>
    <mergeCell ref="C31:E31"/>
    <mergeCell ref="H31:J31"/>
    <mergeCell ref="C32:E32"/>
    <mergeCell ref="H32:J32"/>
    <mergeCell ref="B34:K34"/>
    <mergeCell ref="C25:E25"/>
    <mergeCell ref="H25:J25"/>
    <mergeCell ref="B14:B15"/>
    <mergeCell ref="C14:E15"/>
    <mergeCell ref="L14:L15"/>
    <mergeCell ref="C21:E21"/>
    <mergeCell ref="H21:J21"/>
    <mergeCell ref="C22:E22"/>
    <mergeCell ref="H22:J22"/>
    <mergeCell ref="B24:K24"/>
    <mergeCell ref="N14:N15"/>
    <mergeCell ref="B19:K19"/>
    <mergeCell ref="C20:E20"/>
    <mergeCell ref="H20:J20"/>
    <mergeCell ref="B10:B11"/>
    <mergeCell ref="C10:E11"/>
    <mergeCell ref="L10:L11"/>
    <mergeCell ref="N10:N11"/>
    <mergeCell ref="B12:B13"/>
    <mergeCell ref="C12:E13"/>
    <mergeCell ref="L12:L13"/>
    <mergeCell ref="N12:N13"/>
    <mergeCell ref="B6:B7"/>
    <mergeCell ref="C6:E7"/>
    <mergeCell ref="L6:L7"/>
    <mergeCell ref="N6:N7"/>
    <mergeCell ref="B8:B9"/>
    <mergeCell ref="C8:E9"/>
    <mergeCell ref="L8:L9"/>
    <mergeCell ref="N8:N9"/>
    <mergeCell ref="N4:N5"/>
    <mergeCell ref="B1:K1"/>
    <mergeCell ref="C3:E3"/>
    <mergeCell ref="B4:B5"/>
    <mergeCell ref="C4:E5"/>
    <mergeCell ref="L4:L5"/>
  </mergeCells>
  <printOptions horizontalCentered="1"/>
  <pageMargins left="0.31496062992125984" right="0.31496062992125984" top="0.35433070866141736" bottom="0.55118110236220474" header="0.31496062992125984" footer="0.31496062992125984"/>
  <pageSetup paperSize="9" scale="69" orientation="portrait" horizontalDpi="4294967293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topLeftCell="A4" workbookViewId="0">
      <selection activeCell="N10" sqref="N10:N11"/>
    </sheetView>
  </sheetViews>
  <sheetFormatPr defaultRowHeight="15" x14ac:dyDescent="0.25"/>
  <cols>
    <col min="1" max="1" width="4" style="28" customWidth="1"/>
    <col min="2" max="15" width="10.28515625" customWidth="1"/>
  </cols>
  <sheetData>
    <row r="1" spans="2:14" ht="59.25" customHeight="1" x14ac:dyDescent="0.25">
      <c r="B1" s="63" t="s">
        <v>36</v>
      </c>
      <c r="C1" s="63"/>
      <c r="D1" s="63"/>
      <c r="E1" s="63"/>
      <c r="F1" s="63"/>
      <c r="G1" s="63"/>
      <c r="H1" s="63"/>
      <c r="I1" s="63"/>
      <c r="J1" s="63"/>
      <c r="K1" s="63"/>
    </row>
    <row r="2" spans="2:14" ht="19.5" thickBot="1" x14ac:dyDescent="0.35">
      <c r="B2" s="35" t="s">
        <v>18</v>
      </c>
    </row>
    <row r="3" spans="2:14" ht="30" customHeight="1" thickBot="1" x14ac:dyDescent="0.3">
      <c r="B3" s="1"/>
      <c r="C3" s="64" t="s">
        <v>0</v>
      </c>
      <c r="D3" s="65"/>
      <c r="E3" s="66"/>
      <c r="F3" s="2">
        <v>1</v>
      </c>
      <c r="G3" s="2">
        <v>2</v>
      </c>
      <c r="H3" s="2">
        <v>3</v>
      </c>
      <c r="I3" s="3">
        <v>4</v>
      </c>
      <c r="J3" s="3">
        <v>5</v>
      </c>
      <c r="K3" s="3">
        <v>6</v>
      </c>
      <c r="L3" s="4" t="s">
        <v>1</v>
      </c>
      <c r="M3" s="2" t="s">
        <v>2</v>
      </c>
      <c r="N3" s="5" t="s">
        <v>3</v>
      </c>
    </row>
    <row r="4" spans="2:14" ht="24" customHeight="1" x14ac:dyDescent="0.25">
      <c r="B4" s="67">
        <v>1</v>
      </c>
      <c r="C4" s="69" t="s">
        <v>19</v>
      </c>
      <c r="D4" s="70"/>
      <c r="E4" s="71"/>
      <c r="F4" s="6" t="s">
        <v>4</v>
      </c>
      <c r="G4" s="7" t="str">
        <f ca="1">INDIRECT(ADDRESS(27,6))&amp;":"&amp;INDIRECT(ADDRESS(27,7))</f>
        <v>5:13</v>
      </c>
      <c r="H4" s="7" t="str">
        <f ca="1">INDIRECT(ADDRESS(31,7))&amp;":"&amp;INDIRECT(ADDRESS(31,6))</f>
        <v>12:13</v>
      </c>
      <c r="I4" s="7" t="str">
        <f ca="1">INDIRECT(ADDRESS(36,6))&amp;":"&amp;INDIRECT(ADDRESS(36,7))</f>
        <v>13:12</v>
      </c>
      <c r="J4" s="7" t="str">
        <f ca="1">INDIRECT(ADDRESS(42,7))&amp;":"&amp;INDIRECT(ADDRESS(42,6))</f>
        <v>13:10</v>
      </c>
      <c r="K4" s="8" t="str">
        <f ca="1">INDIRECT(ADDRESS(20,6))&amp;":"&amp;INDIRECT(ADDRESS(20,7))</f>
        <v>11:9</v>
      </c>
      <c r="L4" s="75">
        <f ca="1">IF(COUNT(F5:K5)=0,"",COUNTIF(F5:K5,"&gt;0")+0.5*COUNTIF(F5:K5,0))</f>
        <v>3</v>
      </c>
      <c r="M4" s="9"/>
      <c r="N4" s="61">
        <v>3</v>
      </c>
    </row>
    <row r="5" spans="2:14" ht="24" customHeight="1" x14ac:dyDescent="0.25">
      <c r="B5" s="68"/>
      <c r="C5" s="72"/>
      <c r="D5" s="73"/>
      <c r="E5" s="74"/>
      <c r="F5" s="10" t="s">
        <v>4</v>
      </c>
      <c r="G5" s="11">
        <f ca="1">IF(LEN(INDIRECT(ADDRESS(ROW()-1, COLUMN())))=1,"",INDIRECT(ADDRESS(27,6))-INDIRECT(ADDRESS(27,7)))</f>
        <v>-8</v>
      </c>
      <c r="H5" s="11">
        <f ca="1">IF(LEN(INDIRECT(ADDRESS(ROW()-1, COLUMN())))=1,"",INDIRECT(ADDRESS(31,7))-INDIRECT(ADDRESS(31,6)))</f>
        <v>-1</v>
      </c>
      <c r="I5" s="11">
        <f ca="1">IF(LEN(INDIRECT(ADDRESS(ROW()-1, COLUMN())))=1,"",INDIRECT(ADDRESS(36,6))-INDIRECT(ADDRESS(36,7)))</f>
        <v>1</v>
      </c>
      <c r="J5" s="11">
        <f ca="1">IF(LEN(INDIRECT(ADDRESS(ROW()-1, COLUMN())))=1,"",INDIRECT(ADDRESS(42,7))-INDIRECT(ADDRESS(42,6)))</f>
        <v>3</v>
      </c>
      <c r="K5" s="12">
        <f ca="1">IF(LEN(INDIRECT(ADDRESS(ROW()-1, COLUMN())))=1,"",INDIRECT(ADDRESS(20,6))-INDIRECT(ADDRESS(20,7)))</f>
        <v>2</v>
      </c>
      <c r="L5" s="76"/>
      <c r="M5" s="11">
        <f ca="1">IF(COUNT(F5:K5)=0,"",SUM(F5:K5))</f>
        <v>-3</v>
      </c>
      <c r="N5" s="62"/>
    </row>
    <row r="6" spans="2:14" ht="24" customHeight="1" x14ac:dyDescent="0.25">
      <c r="B6" s="77">
        <v>2</v>
      </c>
      <c r="C6" s="72" t="s">
        <v>20</v>
      </c>
      <c r="D6" s="73"/>
      <c r="E6" s="74"/>
      <c r="F6" s="13" t="str">
        <f ca="1">INDIRECT(ADDRESS(27,7))&amp;":"&amp;INDIRECT(ADDRESS(27,6))</f>
        <v>13:5</v>
      </c>
      <c r="G6" s="14" t="s">
        <v>4</v>
      </c>
      <c r="H6" s="15" t="str">
        <f ca="1">INDIRECT(ADDRESS(37,6))&amp;":"&amp;INDIRECT(ADDRESS(37,7))</f>
        <v>10:13</v>
      </c>
      <c r="I6" s="15" t="str">
        <f ca="1">INDIRECT(ADDRESS(41,7))&amp;":"&amp;INDIRECT(ADDRESS(41,6))</f>
        <v>5:13</v>
      </c>
      <c r="J6" s="15" t="str">
        <f ca="1">INDIRECT(ADDRESS(21,6))&amp;":"&amp;INDIRECT(ADDRESS(21,7))</f>
        <v>13:12</v>
      </c>
      <c r="K6" s="16" t="str">
        <f ca="1">INDIRECT(ADDRESS(30,6))&amp;":"&amp;INDIRECT(ADDRESS(30,7))</f>
        <v>7:13</v>
      </c>
      <c r="L6" s="76">
        <f ca="1">IF(COUNT(F7:K7)=0,"",COUNTIF(F7:K7,"&gt;0")+0.5*COUNTIF(F7:K7,0))</f>
        <v>2</v>
      </c>
      <c r="M6" s="11"/>
      <c r="N6" s="78">
        <v>5</v>
      </c>
    </row>
    <row r="7" spans="2:14" ht="24" customHeight="1" x14ac:dyDescent="0.25">
      <c r="B7" s="68"/>
      <c r="C7" s="72"/>
      <c r="D7" s="73"/>
      <c r="E7" s="74"/>
      <c r="F7" s="17">
        <f ca="1">IF(LEN(INDIRECT(ADDRESS(ROW()-1, COLUMN())))=1,"",INDIRECT(ADDRESS(27,7))-INDIRECT(ADDRESS(27,6)))</f>
        <v>8</v>
      </c>
      <c r="G7" s="18" t="s">
        <v>4</v>
      </c>
      <c r="H7" s="11">
        <f ca="1">IF(LEN(INDIRECT(ADDRESS(ROW()-1, COLUMN())))=1,"",INDIRECT(ADDRESS(37,6))-INDIRECT(ADDRESS(37,7)))</f>
        <v>-3</v>
      </c>
      <c r="I7" s="11">
        <f ca="1">IF(LEN(INDIRECT(ADDRESS(ROW()-1, COLUMN())))=1,"",INDIRECT(ADDRESS(41,7))-INDIRECT(ADDRESS(41,6)))</f>
        <v>-8</v>
      </c>
      <c r="J7" s="11">
        <f ca="1">IF(LEN(INDIRECT(ADDRESS(ROW()-1, COLUMN())))=1,"",INDIRECT(ADDRESS(21,6))-INDIRECT(ADDRESS(21,7)))</f>
        <v>1</v>
      </c>
      <c r="K7" s="12">
        <f ca="1">IF(LEN(INDIRECT(ADDRESS(ROW()-1, COLUMN())))=1,"",INDIRECT(ADDRESS(30,6))-INDIRECT(ADDRESS(30,7)))</f>
        <v>-6</v>
      </c>
      <c r="L7" s="76"/>
      <c r="M7" s="11">
        <f ca="1">IF(COUNT(F7:K7)=0,"",SUM(F7:K7))</f>
        <v>-8</v>
      </c>
      <c r="N7" s="62"/>
    </row>
    <row r="8" spans="2:14" ht="24" customHeight="1" x14ac:dyDescent="0.25">
      <c r="B8" s="77">
        <v>3</v>
      </c>
      <c r="C8" s="72" t="s">
        <v>21</v>
      </c>
      <c r="D8" s="73"/>
      <c r="E8" s="74"/>
      <c r="F8" s="13" t="str">
        <f ca="1">INDIRECT(ADDRESS(31,6))&amp;":"&amp;INDIRECT(ADDRESS(31,7))</f>
        <v>13:12</v>
      </c>
      <c r="G8" s="15" t="str">
        <f ca="1">INDIRECT(ADDRESS(37,7))&amp;":"&amp;INDIRECT(ADDRESS(37,6))</f>
        <v>13:10</v>
      </c>
      <c r="H8" s="14" t="s">
        <v>4</v>
      </c>
      <c r="I8" s="15" t="str">
        <f ca="1">INDIRECT(ADDRESS(22,6))&amp;":"&amp;INDIRECT(ADDRESS(22,7))</f>
        <v>9:13</v>
      </c>
      <c r="J8" s="15" t="str">
        <f ca="1">INDIRECT(ADDRESS(26,7))&amp;":"&amp;INDIRECT(ADDRESS(26,6))</f>
        <v>13:5</v>
      </c>
      <c r="K8" s="16" t="str">
        <f ca="1">INDIRECT(ADDRESS(40,6))&amp;":"&amp;INDIRECT(ADDRESS(40,7))</f>
        <v>6:13</v>
      </c>
      <c r="L8" s="76">
        <f ca="1">IF(COUNT(F9:K9)=0,"",COUNTIF(F9:K9,"&gt;0")+0.5*COUNTIF(F9:K9,0))</f>
        <v>3</v>
      </c>
      <c r="M8" s="11"/>
      <c r="N8" s="78">
        <v>4</v>
      </c>
    </row>
    <row r="9" spans="2:14" ht="24" customHeight="1" x14ac:dyDescent="0.25">
      <c r="B9" s="68"/>
      <c r="C9" s="72"/>
      <c r="D9" s="73"/>
      <c r="E9" s="74"/>
      <c r="F9" s="17">
        <f ca="1">IF(LEN(INDIRECT(ADDRESS(ROW()-1, COLUMN())))=1,"",INDIRECT(ADDRESS(31,6))-INDIRECT(ADDRESS(31,7)))</f>
        <v>1</v>
      </c>
      <c r="G9" s="11">
        <f ca="1">IF(LEN(INDIRECT(ADDRESS(ROW()-1, COLUMN())))=1,"",INDIRECT(ADDRESS(37,7))-INDIRECT(ADDRESS(37,6)))</f>
        <v>3</v>
      </c>
      <c r="H9" s="18" t="s">
        <v>4</v>
      </c>
      <c r="I9" s="11">
        <f ca="1">IF(LEN(INDIRECT(ADDRESS(ROW()-1, COLUMN())))=1,"",INDIRECT(ADDRESS(22,6))-INDIRECT(ADDRESS(22,7)))</f>
        <v>-4</v>
      </c>
      <c r="J9" s="11">
        <f ca="1">IF(LEN(INDIRECT(ADDRESS(ROW()-1, COLUMN())))=1,"",INDIRECT(ADDRESS(26,7))-INDIRECT(ADDRESS(26,6)))</f>
        <v>8</v>
      </c>
      <c r="K9" s="12">
        <f ca="1">IF(LEN(INDIRECT(ADDRESS(ROW()-1, COLUMN())))=1,"",INDIRECT(ADDRESS(40,6))-INDIRECT(ADDRESS(40,7)))</f>
        <v>-7</v>
      </c>
      <c r="L9" s="76"/>
      <c r="M9" s="11">
        <f ca="1">IF(COUNT(F9:K9)=0,"",SUM(F9:K9))</f>
        <v>1</v>
      </c>
      <c r="N9" s="62"/>
    </row>
    <row r="10" spans="2:14" ht="24" customHeight="1" x14ac:dyDescent="0.25">
      <c r="B10" s="77">
        <v>4</v>
      </c>
      <c r="C10" s="72" t="s">
        <v>22</v>
      </c>
      <c r="D10" s="73"/>
      <c r="E10" s="74"/>
      <c r="F10" s="13" t="str">
        <f ca="1">INDIRECT(ADDRESS(36,7))&amp;":"&amp;INDIRECT(ADDRESS(36,6))</f>
        <v>12:13</v>
      </c>
      <c r="G10" s="15" t="str">
        <f ca="1">INDIRECT(ADDRESS(41,6))&amp;":"&amp;INDIRECT(ADDRESS(41,7))</f>
        <v>13:5</v>
      </c>
      <c r="H10" s="15" t="str">
        <f ca="1">INDIRECT(ADDRESS(22,7))&amp;":"&amp;INDIRECT(ADDRESS(22,6))</f>
        <v>13:9</v>
      </c>
      <c r="I10" s="14" t="s">
        <v>4</v>
      </c>
      <c r="J10" s="15" t="str">
        <f ca="1">INDIRECT(ADDRESS(32,6))&amp;":"&amp;INDIRECT(ADDRESS(32,7))</f>
        <v>13:7</v>
      </c>
      <c r="K10" s="16" t="str">
        <f ca="1">INDIRECT(ADDRESS(25,7))&amp;":"&amp;INDIRECT(ADDRESS(25,6))</f>
        <v>9:8</v>
      </c>
      <c r="L10" s="76">
        <f ca="1">IF(COUNT(F11:K11)=0,"",COUNTIF(F11:K11,"&gt;0")+0.5*COUNTIF(F11:K11,0))</f>
        <v>4</v>
      </c>
      <c r="M10" s="11"/>
      <c r="N10" s="78">
        <v>1</v>
      </c>
    </row>
    <row r="11" spans="2:14" ht="24" customHeight="1" x14ac:dyDescent="0.25">
      <c r="B11" s="68"/>
      <c r="C11" s="72"/>
      <c r="D11" s="73"/>
      <c r="E11" s="74"/>
      <c r="F11" s="17">
        <f ca="1">IF(LEN(INDIRECT(ADDRESS(ROW()-1, COLUMN())))=1,"",INDIRECT(ADDRESS(36,7))-INDIRECT(ADDRESS(36,6)))</f>
        <v>-1</v>
      </c>
      <c r="G11" s="11">
        <f ca="1">IF(LEN(INDIRECT(ADDRESS(ROW()-1, COLUMN())))=1,"",INDIRECT(ADDRESS(41,6))-INDIRECT(ADDRESS(41,7)))</f>
        <v>8</v>
      </c>
      <c r="H11" s="11">
        <f ca="1">IF(LEN(INDIRECT(ADDRESS(ROW()-1, COLUMN())))=1,"",INDIRECT(ADDRESS(22,7))-INDIRECT(ADDRESS(22,6)))</f>
        <v>4</v>
      </c>
      <c r="I11" s="18" t="s">
        <v>4</v>
      </c>
      <c r="J11" s="11">
        <f ca="1">IF(LEN(INDIRECT(ADDRESS(ROW()-1, COLUMN())))=1,"",INDIRECT(ADDRESS(32,6))-INDIRECT(ADDRESS(32,7)))</f>
        <v>6</v>
      </c>
      <c r="K11" s="12">
        <f ca="1">IF(LEN(INDIRECT(ADDRESS(ROW()-1, COLUMN())))=1,"",INDIRECT(ADDRESS(25,7))-INDIRECT(ADDRESS(25,6)))</f>
        <v>1</v>
      </c>
      <c r="L11" s="76"/>
      <c r="M11" s="11">
        <f ca="1">IF(COUNT(F11:K11)=0,"",SUM(F11:K11))</f>
        <v>18</v>
      </c>
      <c r="N11" s="62"/>
    </row>
    <row r="12" spans="2:14" ht="24" customHeight="1" x14ac:dyDescent="0.25">
      <c r="B12" s="77">
        <v>5</v>
      </c>
      <c r="C12" s="72" t="s">
        <v>23</v>
      </c>
      <c r="D12" s="73"/>
      <c r="E12" s="74"/>
      <c r="F12" s="13" t="str">
        <f ca="1">INDIRECT(ADDRESS(42,6))&amp;":"&amp;INDIRECT(ADDRESS(42,7))</f>
        <v>10:13</v>
      </c>
      <c r="G12" s="15" t="str">
        <f ca="1">INDIRECT(ADDRESS(21,7))&amp;":"&amp;INDIRECT(ADDRESS(21,6))</f>
        <v>12:13</v>
      </c>
      <c r="H12" s="15" t="str">
        <f ca="1">INDIRECT(ADDRESS(26,6))&amp;":"&amp;INDIRECT(ADDRESS(26,7))</f>
        <v>5:13</v>
      </c>
      <c r="I12" s="15" t="str">
        <f ca="1">INDIRECT(ADDRESS(32,7))&amp;":"&amp;INDIRECT(ADDRESS(32,6))</f>
        <v>7:13</v>
      </c>
      <c r="J12" s="14" t="s">
        <v>4</v>
      </c>
      <c r="K12" s="16" t="str">
        <f ca="1">INDIRECT(ADDRESS(35,7))&amp;":"&amp;INDIRECT(ADDRESS(35,6))</f>
        <v>6:13</v>
      </c>
      <c r="L12" s="76">
        <f ca="1">IF(COUNT(F13:K13)=0,"",COUNTIF(F13:K13,"&gt;0")+0.5*COUNTIF(F13:K13,0))</f>
        <v>0</v>
      </c>
      <c r="M12" s="11"/>
      <c r="N12" s="78">
        <v>6</v>
      </c>
    </row>
    <row r="13" spans="2:14" ht="24" customHeight="1" x14ac:dyDescent="0.25">
      <c r="B13" s="68"/>
      <c r="C13" s="72"/>
      <c r="D13" s="73"/>
      <c r="E13" s="74"/>
      <c r="F13" s="17">
        <f ca="1">IF(LEN(INDIRECT(ADDRESS(ROW()-1, COLUMN())))=1,"",INDIRECT(ADDRESS(42,6))-INDIRECT(ADDRESS(42,7)))</f>
        <v>-3</v>
      </c>
      <c r="G13" s="11">
        <f ca="1">IF(LEN(INDIRECT(ADDRESS(ROW()-1, COLUMN())))=1,"",INDIRECT(ADDRESS(21,7))-INDIRECT(ADDRESS(21,6)))</f>
        <v>-1</v>
      </c>
      <c r="H13" s="11">
        <f ca="1">IF(LEN(INDIRECT(ADDRESS(ROW()-1, COLUMN())))=1,"",INDIRECT(ADDRESS(26,6))-INDIRECT(ADDRESS(26,7)))</f>
        <v>-8</v>
      </c>
      <c r="I13" s="11">
        <f ca="1">IF(LEN(INDIRECT(ADDRESS(ROW()-1, COLUMN())))=1,"",INDIRECT(ADDRESS(32,7))-INDIRECT(ADDRESS(32,6)))</f>
        <v>-6</v>
      </c>
      <c r="J13" s="18" t="s">
        <v>4</v>
      </c>
      <c r="K13" s="12">
        <f ca="1">IF(LEN(INDIRECT(ADDRESS(ROW()-1, COLUMN())))=1,"",INDIRECT(ADDRESS(35,7))-INDIRECT(ADDRESS(35,6)))</f>
        <v>-7</v>
      </c>
      <c r="L13" s="76"/>
      <c r="M13" s="11">
        <f ca="1">IF(COUNT(F13:K13)=0,"",SUM(F13:K13))</f>
        <v>-25</v>
      </c>
      <c r="N13" s="62"/>
    </row>
    <row r="14" spans="2:14" ht="24" customHeight="1" x14ac:dyDescent="0.25">
      <c r="B14" s="77">
        <v>6</v>
      </c>
      <c r="C14" s="72" t="s">
        <v>24</v>
      </c>
      <c r="D14" s="73"/>
      <c r="E14" s="74"/>
      <c r="F14" s="13" t="str">
        <f ca="1">INDIRECT(ADDRESS(20,7))&amp;":"&amp;INDIRECT(ADDRESS(20,6))</f>
        <v>9:11</v>
      </c>
      <c r="G14" s="15" t="str">
        <f ca="1">INDIRECT(ADDRESS(30,7))&amp;":"&amp;INDIRECT(ADDRESS(30,6))</f>
        <v>13:7</v>
      </c>
      <c r="H14" s="15" t="str">
        <f ca="1">INDIRECT(ADDRESS(40,7))&amp;":"&amp;INDIRECT(ADDRESS(40,6))</f>
        <v>13:6</v>
      </c>
      <c r="I14" s="15" t="str">
        <f ca="1">INDIRECT(ADDRESS(25,6))&amp;":"&amp;INDIRECT(ADDRESS(25,7))</f>
        <v>8:9</v>
      </c>
      <c r="J14" s="15" t="str">
        <f ca="1">INDIRECT(ADDRESS(35,6))&amp;":"&amp;INDIRECT(ADDRESS(35,7))</f>
        <v>13:6</v>
      </c>
      <c r="K14" s="19" t="s">
        <v>4</v>
      </c>
      <c r="L14" s="76">
        <f ca="1">IF(COUNT(F15:K15)=0,"",COUNTIF(F15:K15,"&gt;0")+0.5*COUNTIF(F15:K15,0))</f>
        <v>3</v>
      </c>
      <c r="M14" s="11"/>
      <c r="N14" s="78">
        <v>2</v>
      </c>
    </row>
    <row r="15" spans="2:14" ht="24" customHeight="1" thickBot="1" x14ac:dyDescent="0.3">
      <c r="B15" s="84"/>
      <c r="C15" s="85"/>
      <c r="D15" s="86"/>
      <c r="E15" s="87"/>
      <c r="F15" s="20">
        <f ca="1">IF(LEN(INDIRECT(ADDRESS(ROW()-1, COLUMN())))=1,"",INDIRECT(ADDRESS(20,7))-INDIRECT(ADDRESS(20,6)))</f>
        <v>-2</v>
      </c>
      <c r="G15" s="21">
        <f ca="1">IF(LEN(INDIRECT(ADDRESS(ROW()-1, COLUMN())))=1,"",INDIRECT(ADDRESS(30,7))-INDIRECT(ADDRESS(30,6)))</f>
        <v>6</v>
      </c>
      <c r="H15" s="21">
        <f ca="1">IF(LEN(INDIRECT(ADDRESS(ROW()-1, COLUMN())))=1,"",INDIRECT(ADDRESS(40,7))-INDIRECT(ADDRESS(40,6)))</f>
        <v>7</v>
      </c>
      <c r="I15" s="21">
        <f ca="1">IF(LEN(INDIRECT(ADDRESS(ROW()-1, COLUMN())))=1,"",INDIRECT(ADDRESS(25,6))-INDIRECT(ADDRESS(25,7)))</f>
        <v>-1</v>
      </c>
      <c r="J15" s="21">
        <f ca="1">IF(LEN(INDIRECT(ADDRESS(ROW()-1, COLUMN())))=1,"",INDIRECT(ADDRESS(35,6))-INDIRECT(ADDRESS(35,7)))</f>
        <v>7</v>
      </c>
      <c r="K15" s="22" t="s">
        <v>4</v>
      </c>
      <c r="L15" s="88"/>
      <c r="M15" s="21">
        <f ca="1">IF(COUNT(F15:K15)=0,"",SUM(F15:K15))</f>
        <v>17</v>
      </c>
      <c r="N15" s="79"/>
    </row>
    <row r="19" spans="2:13" ht="30" customHeight="1" thickBot="1" x14ac:dyDescent="0.3">
      <c r="B19" s="80" t="s">
        <v>5</v>
      </c>
      <c r="C19" s="80"/>
      <c r="D19" s="80"/>
      <c r="E19" s="80"/>
      <c r="F19" s="80"/>
      <c r="G19" s="80"/>
      <c r="H19" s="80"/>
      <c r="I19" s="80"/>
      <c r="J19" s="80"/>
      <c r="K19" s="80"/>
    </row>
    <row r="20" spans="2:13" ht="30" customHeight="1" thickBot="1" x14ac:dyDescent="0.3">
      <c r="B20" s="23">
        <v>1</v>
      </c>
      <c r="C20" s="81" t="str">
        <f ca="1">IF(ISBLANK(INDIRECT(ADDRESS(B20*2+2,3))),"",INDIRECT(ADDRESS(B20*2+2,3)))</f>
        <v>Федотовский Олег</v>
      </c>
      <c r="D20" s="81"/>
      <c r="E20" s="82"/>
      <c r="F20" s="24">
        <v>11</v>
      </c>
      <c r="G20" s="25">
        <v>9</v>
      </c>
      <c r="H20" s="83" t="str">
        <f ca="1">IF(ISBLANK(INDIRECT(ADDRESS(K20*2+2,3))),"",INDIRECT(ADDRESS(K20*2+2,3)))</f>
        <v>Завьялов Валерий</v>
      </c>
      <c r="I20" s="81"/>
      <c r="J20" s="81"/>
      <c r="K20" s="23">
        <v>6</v>
      </c>
      <c r="L20" s="26" t="s">
        <v>6</v>
      </c>
      <c r="M20" s="27">
        <v>13</v>
      </c>
    </row>
    <row r="21" spans="2:13" ht="30" customHeight="1" thickBot="1" x14ac:dyDescent="0.3">
      <c r="B21" s="23">
        <v>2</v>
      </c>
      <c r="C21" s="81" t="str">
        <f ca="1">IF(ISBLANK(INDIRECT(ADDRESS(B21*2+2,3))),"",INDIRECT(ADDRESS(B21*2+2,3)))</f>
        <v>Помазан Геннадий</v>
      </c>
      <c r="D21" s="81"/>
      <c r="E21" s="82"/>
      <c r="F21" s="24">
        <v>13</v>
      </c>
      <c r="G21" s="25">
        <v>12</v>
      </c>
      <c r="H21" s="83" t="str">
        <f ca="1">IF(ISBLANK(INDIRECT(ADDRESS(K21*2+2,3))),"",INDIRECT(ADDRESS(K21*2+2,3)))</f>
        <v>Дрозд Денис</v>
      </c>
      <c r="I21" s="81"/>
      <c r="J21" s="81"/>
      <c r="K21" s="23">
        <v>5</v>
      </c>
      <c r="L21" s="26" t="s">
        <v>6</v>
      </c>
      <c r="M21" s="27">
        <v>14</v>
      </c>
    </row>
    <row r="22" spans="2:13" ht="30" customHeight="1" thickBot="1" x14ac:dyDescent="0.3">
      <c r="B22" s="23">
        <v>3</v>
      </c>
      <c r="C22" s="81" t="str">
        <f ca="1">IF(ISBLANK(INDIRECT(ADDRESS(B22*2+2,3))),"",INDIRECT(ADDRESS(B22*2+2,3)))</f>
        <v>Валибуз Пьер Ив</v>
      </c>
      <c r="D22" s="81"/>
      <c r="E22" s="82"/>
      <c r="F22" s="24">
        <v>9</v>
      </c>
      <c r="G22" s="25">
        <v>13</v>
      </c>
      <c r="H22" s="83" t="str">
        <f ca="1">IF(ISBLANK(INDIRECT(ADDRESS(K22*2+2,3))),"",INDIRECT(ADDRESS(K22*2+2,3)))</f>
        <v>Листопадов Юрий</v>
      </c>
      <c r="I22" s="81"/>
      <c r="J22" s="81"/>
      <c r="K22" s="23">
        <v>4</v>
      </c>
      <c r="L22" s="26" t="s">
        <v>6</v>
      </c>
      <c r="M22" s="27">
        <v>15</v>
      </c>
    </row>
    <row r="23" spans="2:13" ht="30" customHeight="1" x14ac:dyDescent="0.25"/>
    <row r="24" spans="2:13" ht="30" customHeight="1" thickBot="1" x14ac:dyDescent="0.3">
      <c r="B24" s="80" t="s">
        <v>7</v>
      </c>
      <c r="C24" s="80"/>
      <c r="D24" s="80"/>
      <c r="E24" s="80"/>
      <c r="F24" s="80"/>
      <c r="G24" s="80"/>
      <c r="H24" s="80"/>
      <c r="I24" s="80"/>
      <c r="J24" s="80"/>
      <c r="K24" s="80"/>
    </row>
    <row r="25" spans="2:13" ht="30" customHeight="1" thickBot="1" x14ac:dyDescent="0.3">
      <c r="B25" s="23">
        <v>6</v>
      </c>
      <c r="C25" s="81" t="str">
        <f ca="1">IF(ISBLANK(INDIRECT(ADDRESS(B25*2+2,3))),"",INDIRECT(ADDRESS(B25*2+2,3)))</f>
        <v>Завьялов Валерий</v>
      </c>
      <c r="D25" s="81"/>
      <c r="E25" s="82"/>
      <c r="F25" s="24">
        <v>8</v>
      </c>
      <c r="G25" s="25">
        <v>9</v>
      </c>
      <c r="H25" s="83" t="str">
        <f ca="1">IF(ISBLANK(INDIRECT(ADDRESS(K25*2+2,3))),"",INDIRECT(ADDRESS(K25*2+2,3)))</f>
        <v>Листопадов Юрий</v>
      </c>
      <c r="I25" s="81"/>
      <c r="J25" s="81"/>
      <c r="K25" s="23">
        <v>4</v>
      </c>
      <c r="L25" s="26" t="s">
        <v>6</v>
      </c>
      <c r="M25" s="27">
        <v>16</v>
      </c>
    </row>
    <row r="26" spans="2:13" ht="30" customHeight="1" thickBot="1" x14ac:dyDescent="0.3">
      <c r="B26" s="23">
        <v>5</v>
      </c>
      <c r="C26" s="81" t="str">
        <f ca="1">IF(ISBLANK(INDIRECT(ADDRESS(B26*2+2,3))),"",INDIRECT(ADDRESS(B26*2+2,3)))</f>
        <v>Дрозд Денис</v>
      </c>
      <c r="D26" s="81"/>
      <c r="E26" s="82"/>
      <c r="F26" s="24">
        <v>5</v>
      </c>
      <c r="G26" s="25">
        <v>13</v>
      </c>
      <c r="H26" s="83" t="str">
        <f ca="1">IF(ISBLANK(INDIRECT(ADDRESS(K26*2+2,3))),"",INDIRECT(ADDRESS(K26*2+2,3)))</f>
        <v>Валибуз Пьер Ив</v>
      </c>
      <c r="I26" s="81"/>
      <c r="J26" s="81"/>
      <c r="K26" s="23">
        <v>3</v>
      </c>
      <c r="L26" s="26" t="s">
        <v>6</v>
      </c>
      <c r="M26" s="27">
        <v>17</v>
      </c>
    </row>
    <row r="27" spans="2:13" ht="30" customHeight="1" thickBot="1" x14ac:dyDescent="0.3">
      <c r="B27" s="23">
        <v>1</v>
      </c>
      <c r="C27" s="81" t="str">
        <f ca="1">IF(ISBLANK(INDIRECT(ADDRESS(B27*2+2,3))),"",INDIRECT(ADDRESS(B27*2+2,3)))</f>
        <v>Федотовский Олег</v>
      </c>
      <c r="D27" s="81"/>
      <c r="E27" s="82"/>
      <c r="F27" s="24">
        <v>5</v>
      </c>
      <c r="G27" s="25">
        <v>13</v>
      </c>
      <c r="H27" s="83" t="str">
        <f ca="1">IF(ISBLANK(INDIRECT(ADDRESS(K27*2+2,3))),"",INDIRECT(ADDRESS(K27*2+2,3)))</f>
        <v>Помазан Геннадий</v>
      </c>
      <c r="I27" s="81"/>
      <c r="J27" s="81"/>
      <c r="K27" s="23">
        <v>2</v>
      </c>
      <c r="L27" s="26" t="s">
        <v>6</v>
      </c>
      <c r="M27" s="27">
        <v>18</v>
      </c>
    </row>
    <row r="28" spans="2:13" ht="30" customHeight="1" x14ac:dyDescent="0.25"/>
    <row r="29" spans="2:13" ht="30" customHeight="1" thickBot="1" x14ac:dyDescent="0.3">
      <c r="B29" s="80" t="s">
        <v>8</v>
      </c>
      <c r="C29" s="80"/>
      <c r="D29" s="80"/>
      <c r="E29" s="80"/>
      <c r="F29" s="80"/>
      <c r="G29" s="80"/>
      <c r="H29" s="80"/>
      <c r="I29" s="80"/>
      <c r="J29" s="80"/>
      <c r="K29" s="80"/>
    </row>
    <row r="30" spans="2:13" ht="30" customHeight="1" thickBot="1" x14ac:dyDescent="0.3">
      <c r="B30" s="23">
        <v>2</v>
      </c>
      <c r="C30" s="81" t="str">
        <f ca="1">IF(ISBLANK(INDIRECT(ADDRESS(B30*2+2,3))),"",INDIRECT(ADDRESS(B30*2+2,3)))</f>
        <v>Помазан Геннадий</v>
      </c>
      <c r="D30" s="81"/>
      <c r="E30" s="82"/>
      <c r="F30" s="24">
        <v>7</v>
      </c>
      <c r="G30" s="25">
        <v>13</v>
      </c>
      <c r="H30" s="83" t="str">
        <f ca="1">IF(ISBLANK(INDIRECT(ADDRESS(K30*2+2,3))),"",INDIRECT(ADDRESS(K30*2+2,3)))</f>
        <v>Завьялов Валерий</v>
      </c>
      <c r="I30" s="81"/>
      <c r="J30" s="81"/>
      <c r="K30" s="23">
        <v>6</v>
      </c>
      <c r="L30" s="26" t="s">
        <v>6</v>
      </c>
      <c r="M30" s="27">
        <v>19</v>
      </c>
    </row>
    <row r="31" spans="2:13" ht="30" customHeight="1" thickBot="1" x14ac:dyDescent="0.3">
      <c r="B31" s="23">
        <v>3</v>
      </c>
      <c r="C31" s="81" t="str">
        <f ca="1">IF(ISBLANK(INDIRECT(ADDRESS(B31*2+2,3))),"",INDIRECT(ADDRESS(B31*2+2,3)))</f>
        <v>Валибуз Пьер Ив</v>
      </c>
      <c r="D31" s="81"/>
      <c r="E31" s="82"/>
      <c r="F31" s="24">
        <v>13</v>
      </c>
      <c r="G31" s="25">
        <v>12</v>
      </c>
      <c r="H31" s="83" t="str">
        <f ca="1">IF(ISBLANK(INDIRECT(ADDRESS(K31*2+2,3))),"",INDIRECT(ADDRESS(K31*2+2,3)))</f>
        <v>Федотовский Олег</v>
      </c>
      <c r="I31" s="81"/>
      <c r="J31" s="81"/>
      <c r="K31" s="23">
        <v>1</v>
      </c>
      <c r="L31" s="26" t="s">
        <v>6</v>
      </c>
      <c r="M31" s="27">
        <v>1</v>
      </c>
    </row>
    <row r="32" spans="2:13" ht="30" customHeight="1" thickBot="1" x14ac:dyDescent="0.3">
      <c r="B32" s="23">
        <v>4</v>
      </c>
      <c r="C32" s="81" t="str">
        <f ca="1">IF(ISBLANK(INDIRECT(ADDRESS(B32*2+2,3))),"",INDIRECT(ADDRESS(B32*2+2,3)))</f>
        <v>Листопадов Юрий</v>
      </c>
      <c r="D32" s="81"/>
      <c r="E32" s="82"/>
      <c r="F32" s="24">
        <v>13</v>
      </c>
      <c r="G32" s="25">
        <v>7</v>
      </c>
      <c r="H32" s="83" t="str">
        <f ca="1">IF(ISBLANK(INDIRECT(ADDRESS(K32*2+2,3))),"",INDIRECT(ADDRESS(K32*2+2,3)))</f>
        <v>Дрозд Денис</v>
      </c>
      <c r="I32" s="81"/>
      <c r="J32" s="81"/>
      <c r="K32" s="23">
        <v>5</v>
      </c>
      <c r="L32" s="26" t="s">
        <v>6</v>
      </c>
      <c r="M32" s="27">
        <v>2</v>
      </c>
    </row>
    <row r="33" spans="2:13" ht="30" customHeight="1" x14ac:dyDescent="0.25">
      <c r="M33" s="27"/>
    </row>
    <row r="34" spans="2:13" ht="30" customHeight="1" thickBot="1" x14ac:dyDescent="0.3">
      <c r="B34" s="80" t="s">
        <v>9</v>
      </c>
      <c r="C34" s="80"/>
      <c r="D34" s="80"/>
      <c r="E34" s="80"/>
      <c r="F34" s="80"/>
      <c r="G34" s="80"/>
      <c r="H34" s="80"/>
      <c r="I34" s="80"/>
      <c r="J34" s="80"/>
      <c r="K34" s="80"/>
      <c r="M34" s="27"/>
    </row>
    <row r="35" spans="2:13" ht="30" customHeight="1" thickBot="1" x14ac:dyDescent="0.3">
      <c r="B35" s="23">
        <v>6</v>
      </c>
      <c r="C35" s="81" t="str">
        <f ca="1">IF(ISBLANK(INDIRECT(ADDRESS(B35*2+2,3))),"",INDIRECT(ADDRESS(B35*2+2,3)))</f>
        <v>Завьялов Валерий</v>
      </c>
      <c r="D35" s="81"/>
      <c r="E35" s="82"/>
      <c r="F35" s="24">
        <v>13</v>
      </c>
      <c r="G35" s="25">
        <v>6</v>
      </c>
      <c r="H35" s="83" t="str">
        <f ca="1">IF(ISBLANK(INDIRECT(ADDRESS(K35*2+2,3))),"",INDIRECT(ADDRESS(K35*2+2,3)))</f>
        <v>Дрозд Денис</v>
      </c>
      <c r="I35" s="81"/>
      <c r="J35" s="81"/>
      <c r="K35" s="23">
        <v>5</v>
      </c>
      <c r="L35" s="26" t="s">
        <v>6</v>
      </c>
      <c r="M35" s="27">
        <v>4</v>
      </c>
    </row>
    <row r="36" spans="2:13" ht="30" customHeight="1" thickBot="1" x14ac:dyDescent="0.3">
      <c r="B36" s="23">
        <v>1</v>
      </c>
      <c r="C36" s="81" t="str">
        <f ca="1">IF(ISBLANK(INDIRECT(ADDRESS(B36*2+2,3))),"",INDIRECT(ADDRESS(B36*2+2,3)))</f>
        <v>Федотовский Олег</v>
      </c>
      <c r="D36" s="81"/>
      <c r="E36" s="82"/>
      <c r="F36" s="24">
        <v>13</v>
      </c>
      <c r="G36" s="25">
        <v>12</v>
      </c>
      <c r="H36" s="83" t="str">
        <f ca="1">IF(ISBLANK(INDIRECT(ADDRESS(K36*2+2,3))),"",INDIRECT(ADDRESS(K36*2+2,3)))</f>
        <v>Листопадов Юрий</v>
      </c>
      <c r="I36" s="81"/>
      <c r="J36" s="81"/>
      <c r="K36" s="23">
        <v>4</v>
      </c>
      <c r="L36" s="26" t="s">
        <v>6</v>
      </c>
      <c r="M36" s="27">
        <v>5</v>
      </c>
    </row>
    <row r="37" spans="2:13" ht="30" customHeight="1" thickBot="1" x14ac:dyDescent="0.3">
      <c r="B37" s="23">
        <v>2</v>
      </c>
      <c r="C37" s="81" t="str">
        <f ca="1">IF(ISBLANK(INDIRECT(ADDRESS(B37*2+2,3))),"",INDIRECT(ADDRESS(B37*2+2,3)))</f>
        <v>Помазан Геннадий</v>
      </c>
      <c r="D37" s="81"/>
      <c r="E37" s="82"/>
      <c r="F37" s="24">
        <v>10</v>
      </c>
      <c r="G37" s="25">
        <v>13</v>
      </c>
      <c r="H37" s="83" t="str">
        <f ca="1">IF(ISBLANK(INDIRECT(ADDRESS(K37*2+2,3))),"",INDIRECT(ADDRESS(K37*2+2,3)))</f>
        <v>Валибуз Пьер Ив</v>
      </c>
      <c r="I37" s="81"/>
      <c r="J37" s="81"/>
      <c r="K37" s="23">
        <v>3</v>
      </c>
      <c r="L37" s="26" t="s">
        <v>6</v>
      </c>
      <c r="M37" s="27">
        <v>6</v>
      </c>
    </row>
    <row r="38" spans="2:13" ht="30" customHeight="1" x14ac:dyDescent="0.25"/>
    <row r="39" spans="2:13" ht="30" customHeight="1" thickBot="1" x14ac:dyDescent="0.3">
      <c r="B39" s="80" t="s">
        <v>10</v>
      </c>
      <c r="C39" s="80"/>
      <c r="D39" s="80"/>
      <c r="E39" s="80"/>
      <c r="F39" s="80"/>
      <c r="G39" s="80"/>
      <c r="H39" s="80"/>
      <c r="I39" s="80"/>
      <c r="J39" s="80"/>
      <c r="K39" s="80"/>
    </row>
    <row r="40" spans="2:13" ht="30" customHeight="1" thickBot="1" x14ac:dyDescent="0.3">
      <c r="B40" s="23">
        <v>3</v>
      </c>
      <c r="C40" s="81" t="str">
        <f ca="1">IF(ISBLANK(INDIRECT(ADDRESS(B40*2+2,3))),"",INDIRECT(ADDRESS(B40*2+2,3)))</f>
        <v>Валибуз Пьер Ив</v>
      </c>
      <c r="D40" s="81"/>
      <c r="E40" s="82"/>
      <c r="F40" s="24">
        <v>6</v>
      </c>
      <c r="G40" s="25">
        <v>13</v>
      </c>
      <c r="H40" s="83" t="str">
        <f ca="1">IF(ISBLANK(INDIRECT(ADDRESS(K40*2+2,3))),"",INDIRECT(ADDRESS(K40*2+2,3)))</f>
        <v>Завьялов Валерий</v>
      </c>
      <c r="I40" s="81"/>
      <c r="J40" s="81"/>
      <c r="K40" s="23">
        <v>6</v>
      </c>
      <c r="L40" s="26" t="s">
        <v>6</v>
      </c>
      <c r="M40" s="27">
        <v>7</v>
      </c>
    </row>
    <row r="41" spans="2:13" ht="30" customHeight="1" thickBot="1" x14ac:dyDescent="0.3">
      <c r="B41" s="23">
        <v>4</v>
      </c>
      <c r="C41" s="81" t="str">
        <f ca="1">IF(ISBLANK(INDIRECT(ADDRESS(B41*2+2,3))),"",INDIRECT(ADDRESS(B41*2+2,3)))</f>
        <v>Листопадов Юрий</v>
      </c>
      <c r="D41" s="81"/>
      <c r="E41" s="82"/>
      <c r="F41" s="24">
        <v>13</v>
      </c>
      <c r="G41" s="25">
        <v>5</v>
      </c>
      <c r="H41" s="83" t="str">
        <f ca="1">IF(ISBLANK(INDIRECT(ADDRESS(K41*2+2,3))),"",INDIRECT(ADDRESS(K41*2+2,3)))</f>
        <v>Помазан Геннадий</v>
      </c>
      <c r="I41" s="81"/>
      <c r="J41" s="81"/>
      <c r="K41" s="23">
        <v>2</v>
      </c>
      <c r="L41" s="26" t="s">
        <v>6</v>
      </c>
      <c r="M41" s="27">
        <v>8</v>
      </c>
    </row>
    <row r="42" spans="2:13" ht="30" customHeight="1" thickBot="1" x14ac:dyDescent="0.3">
      <c r="B42" s="23">
        <v>5</v>
      </c>
      <c r="C42" s="81" t="str">
        <f ca="1">IF(ISBLANK(INDIRECT(ADDRESS(B42*2+2,3))),"",INDIRECT(ADDRESS(B42*2+2,3)))</f>
        <v>Дрозд Денис</v>
      </c>
      <c r="D42" s="81"/>
      <c r="E42" s="82"/>
      <c r="F42" s="24">
        <v>10</v>
      </c>
      <c r="G42" s="25">
        <v>13</v>
      </c>
      <c r="H42" s="83" t="str">
        <f ca="1">IF(ISBLANK(INDIRECT(ADDRESS(K42*2+2,3))),"",INDIRECT(ADDRESS(K42*2+2,3)))</f>
        <v>Федотовский Олег</v>
      </c>
      <c r="I42" s="81"/>
      <c r="J42" s="81"/>
      <c r="K42" s="23">
        <v>1</v>
      </c>
      <c r="L42" s="26" t="s">
        <v>6</v>
      </c>
      <c r="M42" s="27">
        <v>9</v>
      </c>
    </row>
  </sheetData>
  <mergeCells count="61">
    <mergeCell ref="C41:E41"/>
    <mergeCell ref="H41:J41"/>
    <mergeCell ref="C42:E42"/>
    <mergeCell ref="H42:J42"/>
    <mergeCell ref="C36:E36"/>
    <mergeCell ref="H36:J36"/>
    <mergeCell ref="C37:E37"/>
    <mergeCell ref="H37:J37"/>
    <mergeCell ref="B39:K39"/>
    <mergeCell ref="C40:E40"/>
    <mergeCell ref="H40:J40"/>
    <mergeCell ref="C35:E35"/>
    <mergeCell ref="H35:J35"/>
    <mergeCell ref="C26:E26"/>
    <mergeCell ref="H26:J26"/>
    <mergeCell ref="C27:E27"/>
    <mergeCell ref="H27:J27"/>
    <mergeCell ref="B29:K29"/>
    <mergeCell ref="C30:E30"/>
    <mergeCell ref="H30:J30"/>
    <mergeCell ref="C31:E31"/>
    <mergeCell ref="H31:J31"/>
    <mergeCell ref="C32:E32"/>
    <mergeCell ref="H32:J32"/>
    <mergeCell ref="B34:K34"/>
    <mergeCell ref="C25:E25"/>
    <mergeCell ref="H25:J25"/>
    <mergeCell ref="B14:B15"/>
    <mergeCell ref="C14:E15"/>
    <mergeCell ref="L14:L15"/>
    <mergeCell ref="C21:E21"/>
    <mergeCell ref="H21:J21"/>
    <mergeCell ref="C22:E22"/>
    <mergeCell ref="H22:J22"/>
    <mergeCell ref="B24:K24"/>
    <mergeCell ref="N14:N15"/>
    <mergeCell ref="B19:K19"/>
    <mergeCell ref="C20:E20"/>
    <mergeCell ref="H20:J20"/>
    <mergeCell ref="B10:B11"/>
    <mergeCell ref="C10:E11"/>
    <mergeCell ref="L10:L11"/>
    <mergeCell ref="N10:N11"/>
    <mergeCell ref="B12:B13"/>
    <mergeCell ref="C12:E13"/>
    <mergeCell ref="L12:L13"/>
    <mergeCell ref="N12:N13"/>
    <mergeCell ref="B6:B7"/>
    <mergeCell ref="C6:E7"/>
    <mergeCell ref="L6:L7"/>
    <mergeCell ref="N6:N7"/>
    <mergeCell ref="B8:B9"/>
    <mergeCell ref="C8:E9"/>
    <mergeCell ref="L8:L9"/>
    <mergeCell ref="N8:N9"/>
    <mergeCell ref="N4:N5"/>
    <mergeCell ref="B1:K1"/>
    <mergeCell ref="C3:E3"/>
    <mergeCell ref="B4:B5"/>
    <mergeCell ref="C4:E5"/>
    <mergeCell ref="L4:L5"/>
  </mergeCells>
  <printOptions horizontalCentered="1"/>
  <pageMargins left="0.31496062992125984" right="0.31496062992125984" top="0.35433070866141736" bottom="0.55118110236220474" header="0.31496062992125984" footer="0.31496062992125984"/>
  <pageSetup paperSize="9" scale="69" orientation="portrait" horizontalDpi="4294967293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2"/>
  <sheetViews>
    <sheetView topLeftCell="A3" workbookViewId="0">
      <selection activeCell="O6" sqref="O6"/>
    </sheetView>
  </sheetViews>
  <sheetFormatPr defaultRowHeight="15" x14ac:dyDescent="0.25"/>
  <cols>
    <col min="1" max="1" width="4" style="28" customWidth="1"/>
    <col min="2" max="15" width="10.28515625" customWidth="1"/>
  </cols>
  <sheetData>
    <row r="1" spans="2:15" ht="59.25" customHeight="1" x14ac:dyDescent="0.25">
      <c r="B1" s="63" t="s">
        <v>37</v>
      </c>
      <c r="C1" s="63"/>
      <c r="D1" s="63"/>
      <c r="E1" s="63"/>
      <c r="F1" s="63"/>
      <c r="G1" s="63"/>
      <c r="H1" s="63"/>
      <c r="I1" s="63"/>
      <c r="J1" s="63"/>
      <c r="K1" s="63"/>
    </row>
    <row r="2" spans="2:15" ht="19.5" thickBot="1" x14ac:dyDescent="0.35">
      <c r="B2" s="35" t="s">
        <v>25</v>
      </c>
    </row>
    <row r="3" spans="2:15" ht="30" customHeight="1" thickBot="1" x14ac:dyDescent="0.3">
      <c r="B3" s="1"/>
      <c r="C3" s="64" t="s">
        <v>0</v>
      </c>
      <c r="D3" s="65"/>
      <c r="E3" s="66"/>
      <c r="F3" s="2">
        <v>1</v>
      </c>
      <c r="G3" s="2">
        <v>2</v>
      </c>
      <c r="H3" s="2">
        <v>3</v>
      </c>
      <c r="I3" s="3">
        <v>4</v>
      </c>
      <c r="J3" s="3">
        <v>5</v>
      </c>
      <c r="K3" s="3">
        <v>6</v>
      </c>
      <c r="L3" s="4" t="s">
        <v>1</v>
      </c>
      <c r="M3" s="2" t="s">
        <v>2</v>
      </c>
      <c r="N3" s="5" t="s">
        <v>3</v>
      </c>
    </row>
    <row r="4" spans="2:15" ht="24" customHeight="1" x14ac:dyDescent="0.25">
      <c r="B4" s="67">
        <v>1</v>
      </c>
      <c r="C4" s="69" t="s">
        <v>26</v>
      </c>
      <c r="D4" s="70"/>
      <c r="E4" s="71"/>
      <c r="F4" s="6" t="s">
        <v>4</v>
      </c>
      <c r="G4" s="7" t="str">
        <f ca="1">INDIRECT(ADDRESS(27,6))&amp;":"&amp;INDIRECT(ADDRESS(27,7))</f>
        <v>8:13</v>
      </c>
      <c r="H4" s="7" t="str">
        <f ca="1">INDIRECT(ADDRESS(31,7))&amp;":"&amp;INDIRECT(ADDRESS(31,6))</f>
        <v>7:9</v>
      </c>
      <c r="I4" s="7" t="str">
        <f ca="1">INDIRECT(ADDRESS(36,6))&amp;":"&amp;INDIRECT(ADDRESS(36,7))</f>
        <v>13:3</v>
      </c>
      <c r="J4" s="7" t="str">
        <f ca="1">INDIRECT(ADDRESS(42,7))&amp;":"&amp;INDIRECT(ADDRESS(42,6))</f>
        <v>12:9</v>
      </c>
      <c r="K4" s="8" t="str">
        <f ca="1">INDIRECT(ADDRESS(20,6))&amp;":"&amp;INDIRECT(ADDRESS(20,7))</f>
        <v>12:10</v>
      </c>
      <c r="L4" s="75">
        <f ca="1">IF(COUNT(F5:K5)=0,"",COUNTIF(F5:K5,"&gt;0")+0.5*COUNTIF(F5:K5,0))</f>
        <v>3</v>
      </c>
      <c r="M4" s="9"/>
      <c r="N4" s="61">
        <v>3</v>
      </c>
    </row>
    <row r="5" spans="2:15" ht="24" customHeight="1" x14ac:dyDescent="0.25">
      <c r="B5" s="68"/>
      <c r="C5" s="72"/>
      <c r="D5" s="73"/>
      <c r="E5" s="74"/>
      <c r="F5" s="10" t="s">
        <v>4</v>
      </c>
      <c r="G5" s="11">
        <f ca="1">IF(LEN(INDIRECT(ADDRESS(ROW()-1, COLUMN())))=1,"",INDIRECT(ADDRESS(27,6))-INDIRECT(ADDRESS(27,7)))</f>
        <v>-5</v>
      </c>
      <c r="H5" s="11">
        <f ca="1">IF(LEN(INDIRECT(ADDRESS(ROW()-1, COLUMN())))=1,"",INDIRECT(ADDRESS(31,7))-INDIRECT(ADDRESS(31,6)))</f>
        <v>-2</v>
      </c>
      <c r="I5" s="11">
        <f ca="1">IF(LEN(INDIRECT(ADDRESS(ROW()-1, COLUMN())))=1,"",INDIRECT(ADDRESS(36,6))-INDIRECT(ADDRESS(36,7)))</f>
        <v>10</v>
      </c>
      <c r="J5" s="11">
        <f ca="1">IF(LEN(INDIRECT(ADDRESS(ROW()-1, COLUMN())))=1,"",INDIRECT(ADDRESS(42,7))-INDIRECT(ADDRESS(42,6)))</f>
        <v>3</v>
      </c>
      <c r="K5" s="12">
        <f ca="1">IF(LEN(INDIRECT(ADDRESS(ROW()-1, COLUMN())))=1,"",INDIRECT(ADDRESS(20,6))-INDIRECT(ADDRESS(20,7)))</f>
        <v>2</v>
      </c>
      <c r="L5" s="76"/>
      <c r="M5" s="11">
        <f ca="1">IF(COUNT(F5:K5)=0,"",SUM(F5:K5))</f>
        <v>8</v>
      </c>
      <c r="N5" s="62"/>
    </row>
    <row r="6" spans="2:15" ht="24" customHeight="1" x14ac:dyDescent="0.25">
      <c r="B6" s="77">
        <v>2</v>
      </c>
      <c r="C6" s="72" t="s">
        <v>27</v>
      </c>
      <c r="D6" s="73"/>
      <c r="E6" s="74"/>
      <c r="F6" s="13" t="str">
        <f ca="1">INDIRECT(ADDRESS(27,7))&amp;":"&amp;INDIRECT(ADDRESS(27,6))</f>
        <v>13:8</v>
      </c>
      <c r="G6" s="14" t="s">
        <v>4</v>
      </c>
      <c r="H6" s="15" t="str">
        <f ca="1">INDIRECT(ADDRESS(37,6))&amp;":"&amp;INDIRECT(ADDRESS(37,7))</f>
        <v>13:7</v>
      </c>
      <c r="I6" s="15" t="str">
        <f ca="1">INDIRECT(ADDRESS(41,7))&amp;":"&amp;INDIRECT(ADDRESS(41,6))</f>
        <v>13:11</v>
      </c>
      <c r="J6" s="15" t="str">
        <f ca="1">INDIRECT(ADDRESS(21,6))&amp;":"&amp;INDIRECT(ADDRESS(21,7))</f>
        <v>8:13</v>
      </c>
      <c r="K6" s="16" t="str">
        <f ca="1">INDIRECT(ADDRESS(30,6))&amp;":"&amp;INDIRECT(ADDRESS(30,7))</f>
        <v>13:3</v>
      </c>
      <c r="L6" s="76">
        <f ca="1">IF(COUNT(F7:K7)=0,"",COUNTIF(F7:K7,"&gt;0")+0.5*COUNTIF(F7:K7,0))</f>
        <v>4</v>
      </c>
      <c r="M6" s="11"/>
      <c r="N6" s="78">
        <v>1</v>
      </c>
      <c r="O6">
        <f>13+13+13+8+13</f>
        <v>60</v>
      </c>
    </row>
    <row r="7" spans="2:15" ht="24" customHeight="1" x14ac:dyDescent="0.25">
      <c r="B7" s="68"/>
      <c r="C7" s="72"/>
      <c r="D7" s="73"/>
      <c r="E7" s="74"/>
      <c r="F7" s="17">
        <f ca="1">IF(LEN(INDIRECT(ADDRESS(ROW()-1, COLUMN())))=1,"",INDIRECT(ADDRESS(27,7))-INDIRECT(ADDRESS(27,6)))</f>
        <v>5</v>
      </c>
      <c r="G7" s="18" t="s">
        <v>4</v>
      </c>
      <c r="H7" s="11">
        <f ca="1">IF(LEN(INDIRECT(ADDRESS(ROW()-1, COLUMN())))=1,"",INDIRECT(ADDRESS(37,6))-INDIRECT(ADDRESS(37,7)))</f>
        <v>6</v>
      </c>
      <c r="I7" s="11">
        <f ca="1">IF(LEN(INDIRECT(ADDRESS(ROW()-1, COLUMN())))=1,"",INDIRECT(ADDRESS(41,7))-INDIRECT(ADDRESS(41,6)))</f>
        <v>2</v>
      </c>
      <c r="J7" s="11">
        <f ca="1">IF(LEN(INDIRECT(ADDRESS(ROW()-1, COLUMN())))=1,"",INDIRECT(ADDRESS(21,6))-INDIRECT(ADDRESS(21,7)))</f>
        <v>-5</v>
      </c>
      <c r="K7" s="12">
        <f ca="1">IF(LEN(INDIRECT(ADDRESS(ROW()-1, COLUMN())))=1,"",INDIRECT(ADDRESS(30,6))-INDIRECT(ADDRESS(30,7)))</f>
        <v>10</v>
      </c>
      <c r="L7" s="76"/>
      <c r="M7" s="11">
        <f ca="1">IF(COUNT(F7:K7)=0,"",SUM(F7:K7))</f>
        <v>18</v>
      </c>
      <c r="N7" s="62"/>
    </row>
    <row r="8" spans="2:15" ht="24" customHeight="1" x14ac:dyDescent="0.25">
      <c r="B8" s="77">
        <v>3</v>
      </c>
      <c r="C8" s="72" t="s">
        <v>28</v>
      </c>
      <c r="D8" s="73"/>
      <c r="E8" s="74"/>
      <c r="F8" s="13" t="str">
        <f ca="1">INDIRECT(ADDRESS(31,6))&amp;":"&amp;INDIRECT(ADDRESS(31,7))</f>
        <v>9:7</v>
      </c>
      <c r="G8" s="15" t="str">
        <f ca="1">INDIRECT(ADDRESS(37,7))&amp;":"&amp;INDIRECT(ADDRESS(37,6))</f>
        <v>7:13</v>
      </c>
      <c r="H8" s="14" t="s">
        <v>4</v>
      </c>
      <c r="I8" s="15" t="str">
        <f ca="1">INDIRECT(ADDRESS(22,6))&amp;":"&amp;INDIRECT(ADDRESS(22,7))</f>
        <v>13:10</v>
      </c>
      <c r="J8" s="15" t="str">
        <f ca="1">INDIRECT(ADDRESS(26,7))&amp;":"&amp;INDIRECT(ADDRESS(26,6))</f>
        <v>13:0</v>
      </c>
      <c r="K8" s="16" t="str">
        <f ca="1">INDIRECT(ADDRESS(40,6))&amp;":"&amp;INDIRECT(ADDRESS(40,7))</f>
        <v>13:4</v>
      </c>
      <c r="L8" s="76">
        <f ca="1">IF(COUNT(F9:K9)=0,"",COUNTIF(F9:K9,"&gt;0")+0.5*COUNTIF(F9:K9,0))</f>
        <v>4</v>
      </c>
      <c r="M8" s="11"/>
      <c r="N8" s="78">
        <v>2</v>
      </c>
    </row>
    <row r="9" spans="2:15" ht="24" customHeight="1" x14ac:dyDescent="0.25">
      <c r="B9" s="68"/>
      <c r="C9" s="72"/>
      <c r="D9" s="73"/>
      <c r="E9" s="74"/>
      <c r="F9" s="17">
        <f ca="1">IF(LEN(INDIRECT(ADDRESS(ROW()-1, COLUMN())))=1,"",INDIRECT(ADDRESS(31,6))-INDIRECT(ADDRESS(31,7)))</f>
        <v>2</v>
      </c>
      <c r="G9" s="11">
        <f ca="1">IF(LEN(INDIRECT(ADDRESS(ROW()-1, COLUMN())))=1,"",INDIRECT(ADDRESS(37,7))-INDIRECT(ADDRESS(37,6)))</f>
        <v>-6</v>
      </c>
      <c r="H9" s="18" t="s">
        <v>4</v>
      </c>
      <c r="I9" s="11">
        <f ca="1">IF(LEN(INDIRECT(ADDRESS(ROW()-1, COLUMN())))=1,"",INDIRECT(ADDRESS(22,6))-INDIRECT(ADDRESS(22,7)))</f>
        <v>3</v>
      </c>
      <c r="J9" s="11">
        <f ca="1">IF(LEN(INDIRECT(ADDRESS(ROW()-1, COLUMN())))=1,"",INDIRECT(ADDRESS(26,7))-INDIRECT(ADDRESS(26,6)))</f>
        <v>13</v>
      </c>
      <c r="K9" s="12">
        <f ca="1">IF(LEN(INDIRECT(ADDRESS(ROW()-1, COLUMN())))=1,"",INDIRECT(ADDRESS(40,6))-INDIRECT(ADDRESS(40,7)))</f>
        <v>9</v>
      </c>
      <c r="L9" s="76"/>
      <c r="M9" s="11">
        <f ca="1">IF(COUNT(F9:K9)=0,"",SUM(F9:K9))</f>
        <v>21</v>
      </c>
      <c r="N9" s="62"/>
    </row>
    <row r="10" spans="2:15" ht="24" customHeight="1" x14ac:dyDescent="0.25">
      <c r="B10" s="77">
        <v>4</v>
      </c>
      <c r="C10" s="72" t="s">
        <v>29</v>
      </c>
      <c r="D10" s="73"/>
      <c r="E10" s="74"/>
      <c r="F10" s="13" t="str">
        <f ca="1">INDIRECT(ADDRESS(36,7))&amp;":"&amp;INDIRECT(ADDRESS(36,6))</f>
        <v>3:13</v>
      </c>
      <c r="G10" s="15" t="str">
        <f ca="1">INDIRECT(ADDRESS(41,6))&amp;":"&amp;INDIRECT(ADDRESS(41,7))</f>
        <v>11:13</v>
      </c>
      <c r="H10" s="15" t="str">
        <f ca="1">INDIRECT(ADDRESS(22,7))&amp;":"&amp;INDIRECT(ADDRESS(22,6))</f>
        <v>10:13</v>
      </c>
      <c r="I10" s="14" t="s">
        <v>4</v>
      </c>
      <c r="J10" s="15" t="str">
        <f ca="1">INDIRECT(ADDRESS(32,6))&amp;":"&amp;INDIRECT(ADDRESS(32,7))</f>
        <v>10:11</v>
      </c>
      <c r="K10" s="16" t="str">
        <f ca="1">INDIRECT(ADDRESS(25,7))&amp;":"&amp;INDIRECT(ADDRESS(25,6))</f>
        <v>13:12</v>
      </c>
      <c r="L10" s="76">
        <f ca="1">IF(COUNT(F11:K11)=0,"",COUNTIF(F11:K11,"&gt;0")+0.5*COUNTIF(F11:K11,0))</f>
        <v>1</v>
      </c>
      <c r="M10" s="11"/>
      <c r="N10" s="78">
        <v>5</v>
      </c>
    </row>
    <row r="11" spans="2:15" ht="24" customHeight="1" x14ac:dyDescent="0.25">
      <c r="B11" s="68"/>
      <c r="C11" s="72"/>
      <c r="D11" s="73"/>
      <c r="E11" s="74"/>
      <c r="F11" s="17">
        <f ca="1">IF(LEN(INDIRECT(ADDRESS(ROW()-1, COLUMN())))=1,"",INDIRECT(ADDRESS(36,7))-INDIRECT(ADDRESS(36,6)))</f>
        <v>-10</v>
      </c>
      <c r="G11" s="11">
        <f ca="1">IF(LEN(INDIRECT(ADDRESS(ROW()-1, COLUMN())))=1,"",INDIRECT(ADDRESS(41,6))-INDIRECT(ADDRESS(41,7)))</f>
        <v>-2</v>
      </c>
      <c r="H11" s="11">
        <f ca="1">IF(LEN(INDIRECT(ADDRESS(ROW()-1, COLUMN())))=1,"",INDIRECT(ADDRESS(22,7))-INDIRECT(ADDRESS(22,6)))</f>
        <v>-3</v>
      </c>
      <c r="I11" s="18" t="s">
        <v>4</v>
      </c>
      <c r="J11" s="11">
        <f ca="1">IF(LEN(INDIRECT(ADDRESS(ROW()-1, COLUMN())))=1,"",INDIRECT(ADDRESS(32,6))-INDIRECT(ADDRESS(32,7)))</f>
        <v>-1</v>
      </c>
      <c r="K11" s="12">
        <f ca="1">IF(LEN(INDIRECT(ADDRESS(ROW()-1, COLUMN())))=1,"",INDIRECT(ADDRESS(25,7))-INDIRECT(ADDRESS(25,6)))</f>
        <v>1</v>
      </c>
      <c r="L11" s="76"/>
      <c r="M11" s="11">
        <f ca="1">IF(COUNT(F11:K11)=0,"",SUM(F11:K11))</f>
        <v>-15</v>
      </c>
      <c r="N11" s="62"/>
    </row>
    <row r="12" spans="2:15" ht="24" customHeight="1" x14ac:dyDescent="0.25">
      <c r="B12" s="77">
        <v>5</v>
      </c>
      <c r="C12" s="72" t="s">
        <v>30</v>
      </c>
      <c r="D12" s="73"/>
      <c r="E12" s="74"/>
      <c r="F12" s="13" t="str">
        <f ca="1">INDIRECT(ADDRESS(42,6))&amp;":"&amp;INDIRECT(ADDRESS(42,7))</f>
        <v>9:12</v>
      </c>
      <c r="G12" s="15" t="str">
        <f ca="1">INDIRECT(ADDRESS(21,7))&amp;":"&amp;INDIRECT(ADDRESS(21,6))</f>
        <v>13:8</v>
      </c>
      <c r="H12" s="15" t="str">
        <f ca="1">INDIRECT(ADDRESS(26,6))&amp;":"&amp;INDIRECT(ADDRESS(26,7))</f>
        <v>0:13</v>
      </c>
      <c r="I12" s="15" t="str">
        <f ca="1">INDIRECT(ADDRESS(32,7))&amp;":"&amp;INDIRECT(ADDRESS(32,6))</f>
        <v>11:10</v>
      </c>
      <c r="J12" s="14" t="s">
        <v>4</v>
      </c>
      <c r="K12" s="16" t="str">
        <f ca="1">INDIRECT(ADDRESS(35,7))&amp;":"&amp;INDIRECT(ADDRESS(35,6))</f>
        <v>0:13</v>
      </c>
      <c r="L12" s="76">
        <f ca="1">IF(COUNT(F13:K13)=0,"",COUNTIF(F13:K13,"&gt;0")+0.5*COUNTIF(F13:K13,0))</f>
        <v>2</v>
      </c>
      <c r="M12" s="11"/>
      <c r="N12" s="78">
        <v>4</v>
      </c>
    </row>
    <row r="13" spans="2:15" ht="24" customHeight="1" x14ac:dyDescent="0.25">
      <c r="B13" s="68"/>
      <c r="C13" s="72"/>
      <c r="D13" s="73"/>
      <c r="E13" s="74"/>
      <c r="F13" s="17">
        <f ca="1">IF(LEN(INDIRECT(ADDRESS(ROW()-1, COLUMN())))=1,"",INDIRECT(ADDRESS(42,6))-INDIRECT(ADDRESS(42,7)))</f>
        <v>-3</v>
      </c>
      <c r="G13" s="11">
        <f ca="1">IF(LEN(INDIRECT(ADDRESS(ROW()-1, COLUMN())))=1,"",INDIRECT(ADDRESS(21,7))-INDIRECT(ADDRESS(21,6)))</f>
        <v>5</v>
      </c>
      <c r="H13" s="11">
        <f ca="1">IF(LEN(INDIRECT(ADDRESS(ROW()-1, COLUMN())))=1,"",INDIRECT(ADDRESS(26,6))-INDIRECT(ADDRESS(26,7)))</f>
        <v>-13</v>
      </c>
      <c r="I13" s="11">
        <f ca="1">IF(LEN(INDIRECT(ADDRESS(ROW()-1, COLUMN())))=1,"",INDIRECT(ADDRESS(32,7))-INDIRECT(ADDRESS(32,6)))</f>
        <v>1</v>
      </c>
      <c r="J13" s="18" t="s">
        <v>4</v>
      </c>
      <c r="K13" s="12">
        <f ca="1">IF(LEN(INDIRECT(ADDRESS(ROW()-1, COLUMN())))=1,"",INDIRECT(ADDRESS(35,7))-INDIRECT(ADDRESS(35,6)))</f>
        <v>-13</v>
      </c>
      <c r="L13" s="76"/>
      <c r="M13" s="11">
        <f ca="1">IF(COUNT(F13:K13)=0,"",SUM(F13:K13))</f>
        <v>-23</v>
      </c>
      <c r="N13" s="62"/>
    </row>
    <row r="14" spans="2:15" ht="24" customHeight="1" x14ac:dyDescent="0.25">
      <c r="B14" s="77">
        <v>6</v>
      </c>
      <c r="C14" s="72" t="s">
        <v>31</v>
      </c>
      <c r="D14" s="73"/>
      <c r="E14" s="74"/>
      <c r="F14" s="13" t="str">
        <f ca="1">INDIRECT(ADDRESS(20,7))&amp;":"&amp;INDIRECT(ADDRESS(20,6))</f>
        <v>10:12</v>
      </c>
      <c r="G14" s="15" t="str">
        <f ca="1">INDIRECT(ADDRESS(30,7))&amp;":"&amp;INDIRECT(ADDRESS(30,6))</f>
        <v>3:13</v>
      </c>
      <c r="H14" s="15" t="str">
        <f ca="1">INDIRECT(ADDRESS(40,7))&amp;":"&amp;INDIRECT(ADDRESS(40,6))</f>
        <v>4:13</v>
      </c>
      <c r="I14" s="15" t="str">
        <f ca="1">INDIRECT(ADDRESS(25,6))&amp;":"&amp;INDIRECT(ADDRESS(25,7))</f>
        <v>12:13</v>
      </c>
      <c r="J14" s="15" t="str">
        <f ca="1">INDIRECT(ADDRESS(35,6))&amp;":"&amp;INDIRECT(ADDRESS(35,7))</f>
        <v>13:0</v>
      </c>
      <c r="K14" s="19" t="s">
        <v>4</v>
      </c>
      <c r="L14" s="76">
        <f ca="1">IF(COUNT(F15:K15)=0,"",COUNTIF(F15:K15,"&gt;0")+0.5*COUNTIF(F15:K15,0))</f>
        <v>1</v>
      </c>
      <c r="M14" s="11"/>
      <c r="N14" s="78">
        <v>6</v>
      </c>
    </row>
    <row r="15" spans="2:15" ht="24" customHeight="1" thickBot="1" x14ac:dyDescent="0.3">
      <c r="B15" s="84"/>
      <c r="C15" s="85"/>
      <c r="D15" s="86"/>
      <c r="E15" s="87"/>
      <c r="F15" s="20">
        <f ca="1">IF(LEN(INDIRECT(ADDRESS(ROW()-1, COLUMN())))=1,"",INDIRECT(ADDRESS(20,7))-INDIRECT(ADDRESS(20,6)))</f>
        <v>-2</v>
      </c>
      <c r="G15" s="21">
        <f ca="1">IF(LEN(INDIRECT(ADDRESS(ROW()-1, COLUMN())))=1,"",INDIRECT(ADDRESS(30,7))-INDIRECT(ADDRESS(30,6)))</f>
        <v>-10</v>
      </c>
      <c r="H15" s="21">
        <f ca="1">IF(LEN(INDIRECT(ADDRESS(ROW()-1, COLUMN())))=1,"",INDIRECT(ADDRESS(40,7))-INDIRECT(ADDRESS(40,6)))</f>
        <v>-9</v>
      </c>
      <c r="I15" s="21">
        <f ca="1">IF(LEN(INDIRECT(ADDRESS(ROW()-1, COLUMN())))=1,"",INDIRECT(ADDRESS(25,6))-INDIRECT(ADDRESS(25,7)))</f>
        <v>-1</v>
      </c>
      <c r="J15" s="21">
        <f ca="1">IF(LEN(INDIRECT(ADDRESS(ROW()-1, COLUMN())))=1,"",INDIRECT(ADDRESS(35,6))-INDIRECT(ADDRESS(35,7)))</f>
        <v>13</v>
      </c>
      <c r="K15" s="22" t="s">
        <v>4</v>
      </c>
      <c r="L15" s="88"/>
      <c r="M15" s="21">
        <f ca="1">IF(COUNT(F15:K15)=0,"",SUM(F15:K15))</f>
        <v>-9</v>
      </c>
      <c r="N15" s="79"/>
    </row>
    <row r="19" spans="2:13" ht="30" customHeight="1" thickBot="1" x14ac:dyDescent="0.3">
      <c r="B19" s="80" t="s">
        <v>5</v>
      </c>
      <c r="C19" s="80"/>
      <c r="D19" s="80"/>
      <c r="E19" s="80"/>
      <c r="F19" s="80"/>
      <c r="G19" s="80"/>
      <c r="H19" s="80"/>
      <c r="I19" s="80"/>
      <c r="J19" s="80"/>
      <c r="K19" s="80"/>
    </row>
    <row r="20" spans="2:13" ht="30" customHeight="1" thickBot="1" x14ac:dyDescent="0.3">
      <c r="B20" s="23">
        <v>1</v>
      </c>
      <c r="C20" s="81" t="str">
        <f ca="1">IF(ISBLANK(INDIRECT(ADDRESS(B20*2+2,3))),"",INDIRECT(ADDRESS(B20*2+2,3)))</f>
        <v>Гелдиев Роман</v>
      </c>
      <c r="D20" s="81"/>
      <c r="E20" s="82"/>
      <c r="F20" s="24">
        <v>12</v>
      </c>
      <c r="G20" s="25">
        <v>10</v>
      </c>
      <c r="H20" s="83" t="str">
        <f ca="1">IF(ISBLANK(INDIRECT(ADDRESS(K20*2+2,3))),"",INDIRECT(ADDRESS(K20*2+2,3)))</f>
        <v>Малов Сергей</v>
      </c>
      <c r="I20" s="81"/>
      <c r="J20" s="81"/>
      <c r="K20" s="23">
        <v>6</v>
      </c>
      <c r="L20" s="26" t="s">
        <v>6</v>
      </c>
      <c r="M20" s="27">
        <v>16</v>
      </c>
    </row>
    <row r="21" spans="2:13" ht="30" customHeight="1" thickBot="1" x14ac:dyDescent="0.3">
      <c r="B21" s="23">
        <v>2</v>
      </c>
      <c r="C21" s="81" t="str">
        <f ca="1">IF(ISBLANK(INDIRECT(ADDRESS(B21*2+2,3))),"",INDIRECT(ADDRESS(B21*2+2,3)))</f>
        <v>Лукин Сергей</v>
      </c>
      <c r="D21" s="81"/>
      <c r="E21" s="82"/>
      <c r="F21" s="24">
        <v>8</v>
      </c>
      <c r="G21" s="25">
        <v>13</v>
      </c>
      <c r="H21" s="83" t="str">
        <f ca="1">IF(ISBLANK(INDIRECT(ADDRESS(K21*2+2,3))),"",INDIRECT(ADDRESS(K21*2+2,3)))</f>
        <v>Луданов Алексей</v>
      </c>
      <c r="I21" s="81"/>
      <c r="J21" s="81"/>
      <c r="K21" s="23">
        <v>5</v>
      </c>
      <c r="L21" s="26" t="s">
        <v>6</v>
      </c>
      <c r="M21" s="27">
        <v>17</v>
      </c>
    </row>
    <row r="22" spans="2:13" ht="30" customHeight="1" thickBot="1" x14ac:dyDescent="0.3">
      <c r="B22" s="23">
        <v>3</v>
      </c>
      <c r="C22" s="81" t="str">
        <f ca="1">IF(ISBLANK(INDIRECT(ADDRESS(B22*2+2,3))),"",INDIRECT(ADDRESS(B22*2+2,3)))</f>
        <v>Танчин Виктор</v>
      </c>
      <c r="D22" s="81"/>
      <c r="E22" s="82"/>
      <c r="F22" s="24">
        <v>13</v>
      </c>
      <c r="G22" s="25">
        <v>10</v>
      </c>
      <c r="H22" s="83" t="str">
        <f ca="1">IF(ISBLANK(INDIRECT(ADDRESS(K22*2+2,3))),"",INDIRECT(ADDRESS(K22*2+2,3)))</f>
        <v>Иванов Виталий</v>
      </c>
      <c r="I22" s="81"/>
      <c r="J22" s="81"/>
      <c r="K22" s="23">
        <v>4</v>
      </c>
      <c r="L22" s="26" t="s">
        <v>6</v>
      </c>
      <c r="M22" s="27">
        <v>18</v>
      </c>
    </row>
    <row r="23" spans="2:13" ht="30" customHeight="1" x14ac:dyDescent="0.25"/>
    <row r="24" spans="2:13" ht="30" customHeight="1" thickBot="1" x14ac:dyDescent="0.3">
      <c r="B24" s="80" t="s">
        <v>7</v>
      </c>
      <c r="C24" s="80"/>
      <c r="D24" s="80"/>
      <c r="E24" s="80"/>
      <c r="F24" s="80"/>
      <c r="G24" s="80"/>
      <c r="H24" s="80"/>
      <c r="I24" s="80"/>
      <c r="J24" s="80"/>
      <c r="K24" s="80"/>
    </row>
    <row r="25" spans="2:13" ht="30" customHeight="1" thickBot="1" x14ac:dyDescent="0.3">
      <c r="B25" s="23">
        <v>6</v>
      </c>
      <c r="C25" s="81" t="str">
        <f ca="1">IF(ISBLANK(INDIRECT(ADDRESS(B25*2+2,3))),"",INDIRECT(ADDRESS(B25*2+2,3)))</f>
        <v>Малов Сергей</v>
      </c>
      <c r="D25" s="81"/>
      <c r="E25" s="82"/>
      <c r="F25" s="24">
        <v>12</v>
      </c>
      <c r="G25" s="25">
        <v>13</v>
      </c>
      <c r="H25" s="83" t="str">
        <f ca="1">IF(ISBLANK(INDIRECT(ADDRESS(K25*2+2,3))),"",INDIRECT(ADDRESS(K25*2+2,3)))</f>
        <v>Иванов Виталий</v>
      </c>
      <c r="I25" s="81"/>
      <c r="J25" s="81"/>
      <c r="K25" s="23">
        <v>4</v>
      </c>
      <c r="L25" s="26" t="s">
        <v>6</v>
      </c>
      <c r="M25" s="27">
        <v>19</v>
      </c>
    </row>
    <row r="26" spans="2:13" ht="30" customHeight="1" thickBot="1" x14ac:dyDescent="0.3">
      <c r="B26" s="23">
        <v>5</v>
      </c>
      <c r="C26" s="81" t="str">
        <f ca="1">IF(ISBLANK(INDIRECT(ADDRESS(B26*2+2,3))),"",INDIRECT(ADDRESS(B26*2+2,3)))</f>
        <v>Луданов Алексей</v>
      </c>
      <c r="D26" s="81"/>
      <c r="E26" s="82"/>
      <c r="F26" s="24">
        <v>0</v>
      </c>
      <c r="G26" s="25">
        <v>13</v>
      </c>
      <c r="H26" s="83" t="str">
        <f ca="1">IF(ISBLANK(INDIRECT(ADDRESS(K26*2+2,3))),"",INDIRECT(ADDRESS(K26*2+2,3)))</f>
        <v>Танчин Виктор</v>
      </c>
      <c r="I26" s="81"/>
      <c r="J26" s="81"/>
      <c r="K26" s="23">
        <v>3</v>
      </c>
      <c r="L26" s="26" t="s">
        <v>6</v>
      </c>
      <c r="M26" s="27">
        <v>1</v>
      </c>
    </row>
    <row r="27" spans="2:13" ht="30" customHeight="1" thickBot="1" x14ac:dyDescent="0.3">
      <c r="B27" s="23">
        <v>1</v>
      </c>
      <c r="C27" s="81" t="str">
        <f ca="1">IF(ISBLANK(INDIRECT(ADDRESS(B27*2+2,3))),"",INDIRECT(ADDRESS(B27*2+2,3)))</f>
        <v>Гелдиев Роман</v>
      </c>
      <c r="D27" s="81"/>
      <c r="E27" s="82"/>
      <c r="F27" s="24">
        <v>8</v>
      </c>
      <c r="G27" s="25">
        <v>13</v>
      </c>
      <c r="H27" s="83" t="str">
        <f ca="1">IF(ISBLANK(INDIRECT(ADDRESS(K27*2+2,3))),"",INDIRECT(ADDRESS(K27*2+2,3)))</f>
        <v>Лукин Сергей</v>
      </c>
      <c r="I27" s="81"/>
      <c r="J27" s="81"/>
      <c r="K27" s="23">
        <v>2</v>
      </c>
      <c r="L27" s="26" t="s">
        <v>6</v>
      </c>
      <c r="M27" s="27">
        <v>2</v>
      </c>
    </row>
    <row r="28" spans="2:13" ht="30" customHeight="1" x14ac:dyDescent="0.25"/>
    <row r="29" spans="2:13" ht="30" customHeight="1" thickBot="1" x14ac:dyDescent="0.3">
      <c r="B29" s="80" t="s">
        <v>8</v>
      </c>
      <c r="C29" s="80"/>
      <c r="D29" s="80"/>
      <c r="E29" s="80"/>
      <c r="F29" s="80"/>
      <c r="G29" s="80"/>
      <c r="H29" s="80"/>
      <c r="I29" s="80"/>
      <c r="J29" s="80"/>
      <c r="K29" s="80"/>
    </row>
    <row r="30" spans="2:13" ht="30" customHeight="1" thickBot="1" x14ac:dyDescent="0.3">
      <c r="B30" s="23">
        <v>2</v>
      </c>
      <c r="C30" s="81" t="str">
        <f ca="1">IF(ISBLANK(INDIRECT(ADDRESS(B30*2+2,3))),"",INDIRECT(ADDRESS(B30*2+2,3)))</f>
        <v>Лукин Сергей</v>
      </c>
      <c r="D30" s="81"/>
      <c r="E30" s="82"/>
      <c r="F30" s="24">
        <v>13</v>
      </c>
      <c r="G30" s="25">
        <v>3</v>
      </c>
      <c r="H30" s="83" t="str">
        <f ca="1">IF(ISBLANK(INDIRECT(ADDRESS(K30*2+2,3))),"",INDIRECT(ADDRESS(K30*2+2,3)))</f>
        <v>Малов Сергей</v>
      </c>
      <c r="I30" s="81"/>
      <c r="J30" s="81"/>
      <c r="K30" s="23">
        <v>6</v>
      </c>
      <c r="L30" s="26" t="s">
        <v>6</v>
      </c>
      <c r="M30" s="27">
        <v>4</v>
      </c>
    </row>
    <row r="31" spans="2:13" ht="30" customHeight="1" thickBot="1" x14ac:dyDescent="0.3">
      <c r="B31" s="23">
        <v>3</v>
      </c>
      <c r="C31" s="81" t="str">
        <f ca="1">IF(ISBLANK(INDIRECT(ADDRESS(B31*2+2,3))),"",INDIRECT(ADDRESS(B31*2+2,3)))</f>
        <v>Танчин Виктор</v>
      </c>
      <c r="D31" s="81"/>
      <c r="E31" s="82"/>
      <c r="F31" s="24">
        <v>9</v>
      </c>
      <c r="G31" s="25">
        <v>7</v>
      </c>
      <c r="H31" s="83" t="str">
        <f ca="1">IF(ISBLANK(INDIRECT(ADDRESS(K31*2+2,3))),"",INDIRECT(ADDRESS(K31*2+2,3)))</f>
        <v>Гелдиев Роман</v>
      </c>
      <c r="I31" s="81"/>
      <c r="J31" s="81"/>
      <c r="K31" s="23">
        <v>1</v>
      </c>
      <c r="L31" s="26" t="s">
        <v>6</v>
      </c>
      <c r="M31" s="27">
        <v>5</v>
      </c>
    </row>
    <row r="32" spans="2:13" ht="30" customHeight="1" thickBot="1" x14ac:dyDescent="0.3">
      <c r="B32" s="23">
        <v>4</v>
      </c>
      <c r="C32" s="81" t="str">
        <f ca="1">IF(ISBLANK(INDIRECT(ADDRESS(B32*2+2,3))),"",INDIRECT(ADDRESS(B32*2+2,3)))</f>
        <v>Иванов Виталий</v>
      </c>
      <c r="D32" s="81"/>
      <c r="E32" s="82"/>
      <c r="F32" s="24">
        <v>10</v>
      </c>
      <c r="G32" s="25">
        <v>11</v>
      </c>
      <c r="H32" s="83" t="str">
        <f ca="1">IF(ISBLANK(INDIRECT(ADDRESS(K32*2+2,3))),"",INDIRECT(ADDRESS(K32*2+2,3)))</f>
        <v>Луданов Алексей</v>
      </c>
      <c r="I32" s="81"/>
      <c r="J32" s="81"/>
      <c r="K32" s="23">
        <v>5</v>
      </c>
      <c r="L32" s="26" t="s">
        <v>6</v>
      </c>
      <c r="M32" s="27">
        <v>6</v>
      </c>
    </row>
    <row r="33" spans="2:13" ht="30" customHeight="1" x14ac:dyDescent="0.25"/>
    <row r="34" spans="2:13" ht="30" customHeight="1" thickBot="1" x14ac:dyDescent="0.3">
      <c r="B34" s="80" t="s">
        <v>9</v>
      </c>
      <c r="C34" s="80"/>
      <c r="D34" s="80"/>
      <c r="E34" s="80"/>
      <c r="F34" s="80"/>
      <c r="G34" s="80"/>
      <c r="H34" s="80"/>
      <c r="I34" s="80"/>
      <c r="J34" s="80"/>
      <c r="K34" s="80"/>
    </row>
    <row r="35" spans="2:13" ht="30" customHeight="1" thickBot="1" x14ac:dyDescent="0.3">
      <c r="B35" s="23">
        <v>6</v>
      </c>
      <c r="C35" s="81" t="str">
        <f ca="1">IF(ISBLANK(INDIRECT(ADDRESS(B35*2+2,3))),"",INDIRECT(ADDRESS(B35*2+2,3)))</f>
        <v>Малов Сергей</v>
      </c>
      <c r="D35" s="81"/>
      <c r="E35" s="82"/>
      <c r="F35" s="24">
        <v>13</v>
      </c>
      <c r="G35" s="25">
        <v>0</v>
      </c>
      <c r="H35" s="83" t="str">
        <f ca="1">IF(ISBLANK(INDIRECT(ADDRESS(K35*2+2,3))),"",INDIRECT(ADDRESS(K35*2+2,3)))</f>
        <v>Луданов Алексей</v>
      </c>
      <c r="I35" s="81"/>
      <c r="J35" s="81"/>
      <c r="K35" s="23">
        <v>5</v>
      </c>
      <c r="L35" s="26" t="s">
        <v>6</v>
      </c>
      <c r="M35" s="27">
        <v>7</v>
      </c>
    </row>
    <row r="36" spans="2:13" ht="30" customHeight="1" thickBot="1" x14ac:dyDescent="0.3">
      <c r="B36" s="23">
        <v>1</v>
      </c>
      <c r="C36" s="81" t="str">
        <f ca="1">IF(ISBLANK(INDIRECT(ADDRESS(B36*2+2,3))),"",INDIRECT(ADDRESS(B36*2+2,3)))</f>
        <v>Гелдиев Роман</v>
      </c>
      <c r="D36" s="81"/>
      <c r="E36" s="82"/>
      <c r="F36" s="24">
        <v>13</v>
      </c>
      <c r="G36" s="25">
        <v>3</v>
      </c>
      <c r="H36" s="83" t="str">
        <f ca="1">IF(ISBLANK(INDIRECT(ADDRESS(K36*2+2,3))),"",INDIRECT(ADDRESS(K36*2+2,3)))</f>
        <v>Иванов Виталий</v>
      </c>
      <c r="I36" s="81"/>
      <c r="J36" s="81"/>
      <c r="K36" s="23">
        <v>4</v>
      </c>
      <c r="L36" s="26" t="s">
        <v>6</v>
      </c>
      <c r="M36" s="27">
        <v>8</v>
      </c>
    </row>
    <row r="37" spans="2:13" ht="30" customHeight="1" thickBot="1" x14ac:dyDescent="0.3">
      <c r="B37" s="23">
        <v>2</v>
      </c>
      <c r="C37" s="81" t="str">
        <f ca="1">IF(ISBLANK(INDIRECT(ADDRESS(B37*2+2,3))),"",INDIRECT(ADDRESS(B37*2+2,3)))</f>
        <v>Лукин Сергей</v>
      </c>
      <c r="D37" s="81"/>
      <c r="E37" s="82"/>
      <c r="F37" s="24">
        <v>13</v>
      </c>
      <c r="G37" s="25">
        <v>7</v>
      </c>
      <c r="H37" s="83" t="str">
        <f ca="1">IF(ISBLANK(INDIRECT(ADDRESS(K37*2+2,3))),"",INDIRECT(ADDRESS(K37*2+2,3)))</f>
        <v>Танчин Виктор</v>
      </c>
      <c r="I37" s="81"/>
      <c r="J37" s="81"/>
      <c r="K37" s="23">
        <v>3</v>
      </c>
      <c r="L37" s="26" t="s">
        <v>6</v>
      </c>
      <c r="M37" s="27">
        <v>9</v>
      </c>
    </row>
    <row r="38" spans="2:13" ht="30" customHeight="1" x14ac:dyDescent="0.25"/>
    <row r="39" spans="2:13" ht="30" customHeight="1" thickBot="1" x14ac:dyDescent="0.3">
      <c r="B39" s="80" t="s">
        <v>10</v>
      </c>
      <c r="C39" s="80"/>
      <c r="D39" s="80"/>
      <c r="E39" s="80"/>
      <c r="F39" s="80"/>
      <c r="G39" s="80"/>
      <c r="H39" s="80"/>
      <c r="I39" s="80"/>
      <c r="J39" s="80"/>
      <c r="K39" s="80"/>
    </row>
    <row r="40" spans="2:13" ht="30" customHeight="1" thickBot="1" x14ac:dyDescent="0.3">
      <c r="B40" s="23">
        <v>3</v>
      </c>
      <c r="C40" s="81" t="str">
        <f ca="1">IF(ISBLANK(INDIRECT(ADDRESS(B40*2+2,3))),"",INDIRECT(ADDRESS(B40*2+2,3)))</f>
        <v>Танчин Виктор</v>
      </c>
      <c r="D40" s="81"/>
      <c r="E40" s="82"/>
      <c r="F40" s="24">
        <v>13</v>
      </c>
      <c r="G40" s="25">
        <v>4</v>
      </c>
      <c r="H40" s="83" t="str">
        <f ca="1">IF(ISBLANK(INDIRECT(ADDRESS(K40*2+2,3))),"",INDIRECT(ADDRESS(K40*2+2,3)))</f>
        <v>Малов Сергей</v>
      </c>
      <c r="I40" s="81"/>
      <c r="J40" s="81"/>
      <c r="K40" s="23">
        <v>6</v>
      </c>
      <c r="L40" s="26" t="s">
        <v>6</v>
      </c>
      <c r="M40" s="27">
        <v>10</v>
      </c>
    </row>
    <row r="41" spans="2:13" ht="30" customHeight="1" thickBot="1" x14ac:dyDescent="0.3">
      <c r="B41" s="23">
        <v>4</v>
      </c>
      <c r="C41" s="81" t="str">
        <f ca="1">IF(ISBLANK(INDIRECT(ADDRESS(B41*2+2,3))),"",INDIRECT(ADDRESS(B41*2+2,3)))</f>
        <v>Иванов Виталий</v>
      </c>
      <c r="D41" s="81"/>
      <c r="E41" s="82"/>
      <c r="F41" s="24">
        <v>11</v>
      </c>
      <c r="G41" s="25">
        <v>13</v>
      </c>
      <c r="H41" s="83" t="str">
        <f ca="1">IF(ISBLANK(INDIRECT(ADDRESS(K41*2+2,3))),"",INDIRECT(ADDRESS(K41*2+2,3)))</f>
        <v>Лукин Сергей</v>
      </c>
      <c r="I41" s="81"/>
      <c r="J41" s="81"/>
      <c r="K41" s="23">
        <v>2</v>
      </c>
      <c r="L41" s="26" t="s">
        <v>6</v>
      </c>
      <c r="M41" s="27">
        <v>11</v>
      </c>
    </row>
    <row r="42" spans="2:13" ht="30" customHeight="1" thickBot="1" x14ac:dyDescent="0.3">
      <c r="B42" s="23">
        <v>5</v>
      </c>
      <c r="C42" s="81" t="str">
        <f ca="1">IF(ISBLANK(INDIRECT(ADDRESS(B42*2+2,3))),"",INDIRECT(ADDRESS(B42*2+2,3)))</f>
        <v>Луданов Алексей</v>
      </c>
      <c r="D42" s="81"/>
      <c r="E42" s="82"/>
      <c r="F42" s="24">
        <v>9</v>
      </c>
      <c r="G42" s="25">
        <v>12</v>
      </c>
      <c r="H42" s="83" t="str">
        <f ca="1">IF(ISBLANK(INDIRECT(ADDRESS(K42*2+2,3))),"",INDIRECT(ADDRESS(K42*2+2,3)))</f>
        <v>Гелдиев Роман</v>
      </c>
      <c r="I42" s="81"/>
      <c r="J42" s="81"/>
      <c r="K42" s="23">
        <v>1</v>
      </c>
      <c r="L42" s="26" t="s">
        <v>6</v>
      </c>
      <c r="M42" s="27">
        <v>12</v>
      </c>
    </row>
  </sheetData>
  <mergeCells count="61">
    <mergeCell ref="C41:E41"/>
    <mergeCell ref="H41:J41"/>
    <mergeCell ref="C42:E42"/>
    <mergeCell ref="H42:J42"/>
    <mergeCell ref="C36:E36"/>
    <mergeCell ref="H36:J36"/>
    <mergeCell ref="C37:E37"/>
    <mergeCell ref="H37:J37"/>
    <mergeCell ref="B39:K39"/>
    <mergeCell ref="C40:E40"/>
    <mergeCell ref="H40:J40"/>
    <mergeCell ref="C35:E35"/>
    <mergeCell ref="H35:J35"/>
    <mergeCell ref="C26:E26"/>
    <mergeCell ref="H26:J26"/>
    <mergeCell ref="C27:E27"/>
    <mergeCell ref="H27:J27"/>
    <mergeCell ref="B29:K29"/>
    <mergeCell ref="C30:E30"/>
    <mergeCell ref="H30:J30"/>
    <mergeCell ref="C31:E31"/>
    <mergeCell ref="H31:J31"/>
    <mergeCell ref="C32:E32"/>
    <mergeCell ref="H32:J32"/>
    <mergeCell ref="B34:K34"/>
    <mergeCell ref="C25:E25"/>
    <mergeCell ref="H25:J25"/>
    <mergeCell ref="B14:B15"/>
    <mergeCell ref="C14:E15"/>
    <mergeCell ref="L14:L15"/>
    <mergeCell ref="C21:E21"/>
    <mergeCell ref="H21:J21"/>
    <mergeCell ref="C22:E22"/>
    <mergeCell ref="H22:J22"/>
    <mergeCell ref="B24:K24"/>
    <mergeCell ref="N14:N15"/>
    <mergeCell ref="B19:K19"/>
    <mergeCell ref="C20:E20"/>
    <mergeCell ref="H20:J20"/>
    <mergeCell ref="B10:B11"/>
    <mergeCell ref="C10:E11"/>
    <mergeCell ref="L10:L11"/>
    <mergeCell ref="N10:N11"/>
    <mergeCell ref="B12:B13"/>
    <mergeCell ref="C12:E13"/>
    <mergeCell ref="L12:L13"/>
    <mergeCell ref="N12:N13"/>
    <mergeCell ref="B6:B7"/>
    <mergeCell ref="C6:E7"/>
    <mergeCell ref="L6:L7"/>
    <mergeCell ref="N6:N7"/>
    <mergeCell ref="B8:B9"/>
    <mergeCell ref="C8:E9"/>
    <mergeCell ref="L8:L9"/>
    <mergeCell ref="N8:N9"/>
    <mergeCell ref="N4:N5"/>
    <mergeCell ref="B1:K1"/>
    <mergeCell ref="C3:E3"/>
    <mergeCell ref="B4:B5"/>
    <mergeCell ref="C4:E5"/>
    <mergeCell ref="L4:L5"/>
  </mergeCells>
  <printOptions horizontalCentered="1"/>
  <pageMargins left="0.31496062992125984" right="0.31496062992125984" top="0.35433070866141736" bottom="0.55118110236220474" header="0.31496062992125984" footer="0.31496062992125984"/>
  <pageSetup paperSize="9" scale="69" orientation="portrait" horizontalDpi="4294967293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0"/>
  <sheetViews>
    <sheetView topLeftCell="A20" zoomScaleNormal="100" workbookViewId="0">
      <selection activeCell="D41" sqref="D41"/>
    </sheetView>
  </sheetViews>
  <sheetFormatPr defaultColWidth="9.140625" defaultRowHeight="15" customHeight="1" x14ac:dyDescent="0.25"/>
  <cols>
    <col min="1" max="1" width="9.140625" style="28"/>
    <col min="2" max="2" width="9.140625" style="40" customWidth="1"/>
    <col min="3" max="3" width="9.140625" style="38" customWidth="1"/>
    <col min="4" max="5" width="9.140625" style="27" customWidth="1"/>
    <col min="6" max="6" width="9.140625" style="40" customWidth="1"/>
    <col min="7" max="7" width="9.140625" style="38" customWidth="1"/>
    <col min="8" max="9" width="9.140625" style="27" customWidth="1"/>
    <col min="10" max="10" width="9.140625" style="40" customWidth="1"/>
    <col min="11" max="11" width="9.140625" style="38" customWidth="1"/>
    <col min="12" max="15" width="9.140625" style="27" customWidth="1"/>
    <col min="16" max="16384" width="9.140625" style="27"/>
  </cols>
  <sheetData>
    <row r="1" spans="1:13" ht="59.25" customHeight="1" x14ac:dyDescent="0.25">
      <c r="B1" s="63" t="str">
        <f>'Группа А'!B1:K1</f>
        <v>Турнир "Кубок Абрау", Тет-а-тет, мужчины</v>
      </c>
      <c r="C1" s="63"/>
      <c r="D1" s="63"/>
      <c r="E1" s="63"/>
      <c r="F1" s="63"/>
      <c r="G1" s="63"/>
      <c r="H1" s="63"/>
      <c r="I1" s="63"/>
      <c r="J1" s="63"/>
      <c r="K1" s="63"/>
    </row>
    <row r="2" spans="1:13" ht="15" customHeight="1" x14ac:dyDescent="0.25">
      <c r="B2" s="36" t="s">
        <v>32</v>
      </c>
      <c r="C2" s="39"/>
    </row>
    <row r="3" spans="1:13" ht="15" customHeight="1" x14ac:dyDescent="0.25">
      <c r="C3" s="39"/>
    </row>
    <row r="4" spans="1:13" ht="15" customHeight="1" x14ac:dyDescent="0.25">
      <c r="A4" s="28">
        <v>1</v>
      </c>
      <c r="B4" s="89" t="s">
        <v>12</v>
      </c>
      <c r="C4" s="90"/>
      <c r="D4" s="30">
        <v>13</v>
      </c>
      <c r="E4" s="31"/>
    </row>
    <row r="5" spans="1:13" ht="15" customHeight="1" x14ac:dyDescent="0.25">
      <c r="C5" s="39"/>
      <c r="E5" s="32"/>
    </row>
    <row r="6" spans="1:13" ht="15" customHeight="1" x14ac:dyDescent="0.25">
      <c r="B6" s="41" t="s">
        <v>6</v>
      </c>
      <c r="C6" s="37">
        <v>5</v>
      </c>
      <c r="E6" s="33"/>
      <c r="F6" s="91" t="str">
        <f>IF(ISBLANK(D4),"",IF(D4&gt;D8,B4,B8))</f>
        <v>Еремин Павел</v>
      </c>
      <c r="G6" s="90"/>
      <c r="H6" s="30">
        <v>13</v>
      </c>
      <c r="I6" s="31"/>
    </row>
    <row r="7" spans="1:13" ht="15" customHeight="1" x14ac:dyDescent="0.25">
      <c r="C7" s="39"/>
      <c r="E7" s="33"/>
      <c r="I7" s="32"/>
    </row>
    <row r="8" spans="1:13" ht="15" customHeight="1" x14ac:dyDescent="0.25">
      <c r="A8" s="28">
        <v>8</v>
      </c>
      <c r="B8" s="89" t="s">
        <v>19</v>
      </c>
      <c r="C8" s="90"/>
      <c r="D8" s="30">
        <v>2</v>
      </c>
      <c r="E8" s="34"/>
      <c r="I8" s="33"/>
    </row>
    <row r="9" spans="1:13" ht="15" customHeight="1" x14ac:dyDescent="0.25">
      <c r="C9" s="39"/>
      <c r="I9" s="33"/>
    </row>
    <row r="10" spans="1:13" ht="15" customHeight="1" x14ac:dyDescent="0.25">
      <c r="C10" s="39"/>
      <c r="F10" s="41" t="s">
        <v>6</v>
      </c>
      <c r="G10" s="37">
        <v>11</v>
      </c>
      <c r="H10" s="29"/>
      <c r="I10" s="33"/>
      <c r="J10" s="91" t="str">
        <f>IF(ISBLANK(H6),"",IF(H6&gt;H14,F6,F14))</f>
        <v>Еремин Павел</v>
      </c>
      <c r="K10" s="89"/>
      <c r="L10" s="30">
        <v>13</v>
      </c>
      <c r="M10" s="31"/>
    </row>
    <row r="11" spans="1:13" ht="15" customHeight="1" x14ac:dyDescent="0.25">
      <c r="C11" s="39"/>
      <c r="I11" s="33"/>
      <c r="M11" s="32"/>
    </row>
    <row r="12" spans="1:13" ht="15" customHeight="1" x14ac:dyDescent="0.25">
      <c r="A12" s="28">
        <v>4</v>
      </c>
      <c r="B12" s="89" t="s">
        <v>28</v>
      </c>
      <c r="C12" s="90"/>
      <c r="D12" s="30">
        <v>10</v>
      </c>
      <c r="E12" s="31"/>
      <c r="I12" s="33"/>
      <c r="M12" s="33"/>
    </row>
    <row r="13" spans="1:13" ht="15" customHeight="1" x14ac:dyDescent="0.25">
      <c r="C13" s="39"/>
      <c r="E13" s="32"/>
      <c r="I13" s="33"/>
      <c r="M13" s="33"/>
    </row>
    <row r="14" spans="1:13" ht="15" customHeight="1" x14ac:dyDescent="0.25">
      <c r="B14" s="41" t="s">
        <v>6</v>
      </c>
      <c r="C14" s="37">
        <v>7</v>
      </c>
      <c r="E14" s="33"/>
      <c r="F14" s="91" t="str">
        <f>IF(ISBLANK(D12),"",IF(D12&gt;D16,B12,B16))</f>
        <v>Завьялов Валерий</v>
      </c>
      <c r="G14" s="90"/>
      <c r="H14" s="30">
        <v>7</v>
      </c>
      <c r="I14" s="34"/>
      <c r="M14" s="33"/>
    </row>
    <row r="15" spans="1:13" ht="15" customHeight="1" x14ac:dyDescent="0.25">
      <c r="E15" s="33"/>
      <c r="M15" s="33"/>
    </row>
    <row r="16" spans="1:13" ht="15" customHeight="1" x14ac:dyDescent="0.25">
      <c r="A16" s="28">
        <v>5</v>
      </c>
      <c r="B16" s="89" t="s">
        <v>24</v>
      </c>
      <c r="C16" s="90"/>
      <c r="D16" s="30">
        <v>13</v>
      </c>
      <c r="E16" s="34"/>
      <c r="M16" s="33"/>
    </row>
    <row r="17" spans="1:15" ht="15" customHeight="1" x14ac:dyDescent="0.25">
      <c r="M17" s="33"/>
    </row>
    <row r="18" spans="1:15" ht="15" customHeight="1" x14ac:dyDescent="0.25">
      <c r="B18" s="41"/>
      <c r="J18" s="41" t="s">
        <v>6</v>
      </c>
      <c r="K18" s="37" t="s">
        <v>35</v>
      </c>
      <c r="L18" s="29"/>
      <c r="M18" s="33"/>
      <c r="N18" s="92" t="str">
        <f>IF(ISBLANK(L10),"",IF(L10&gt;L26,J10,J26))</f>
        <v>Еремин Павел</v>
      </c>
      <c r="O18" s="93"/>
    </row>
    <row r="19" spans="1:15" ht="15" customHeight="1" x14ac:dyDescent="0.25">
      <c r="M19" s="33"/>
    </row>
    <row r="20" spans="1:15" ht="15" customHeight="1" x14ac:dyDescent="0.25">
      <c r="A20" s="28">
        <v>2</v>
      </c>
      <c r="B20" s="89" t="s">
        <v>27</v>
      </c>
      <c r="C20" s="90"/>
      <c r="D20" s="30">
        <v>13</v>
      </c>
      <c r="E20" s="31"/>
      <c r="M20" s="33"/>
    </row>
    <row r="21" spans="1:15" ht="15" customHeight="1" x14ac:dyDescent="0.25">
      <c r="E21" s="32"/>
      <c r="M21" s="33"/>
    </row>
    <row r="22" spans="1:15" ht="15" customHeight="1" x14ac:dyDescent="0.25">
      <c r="B22" s="41" t="s">
        <v>6</v>
      </c>
      <c r="C22" s="37">
        <v>8</v>
      </c>
      <c r="E22" s="33"/>
      <c r="F22" s="91" t="str">
        <f>IF(ISBLANK(D20),"",IF(D20&gt;D24,B20,B24))</f>
        <v>Лукин Сергей</v>
      </c>
      <c r="G22" s="90"/>
      <c r="H22" s="30">
        <v>3</v>
      </c>
      <c r="I22" s="31"/>
      <c r="M22" s="33"/>
    </row>
    <row r="23" spans="1:15" ht="15" customHeight="1" x14ac:dyDescent="0.25">
      <c r="E23" s="33"/>
      <c r="I23" s="32"/>
      <c r="M23" s="33"/>
    </row>
    <row r="24" spans="1:15" ht="15" customHeight="1" x14ac:dyDescent="0.25">
      <c r="A24" s="28">
        <v>7</v>
      </c>
      <c r="B24" s="89" t="s">
        <v>26</v>
      </c>
      <c r="C24" s="90"/>
      <c r="D24" s="30">
        <v>3</v>
      </c>
      <c r="E24" s="34"/>
      <c r="I24" s="33"/>
      <c r="M24" s="33"/>
    </row>
    <row r="25" spans="1:15" ht="15" customHeight="1" x14ac:dyDescent="0.25">
      <c r="I25" s="33"/>
      <c r="M25" s="33"/>
    </row>
    <row r="26" spans="1:15" ht="15" customHeight="1" x14ac:dyDescent="0.25">
      <c r="F26" s="41" t="s">
        <v>6</v>
      </c>
      <c r="G26" s="37">
        <v>13</v>
      </c>
      <c r="H26" s="29"/>
      <c r="I26" s="33"/>
      <c r="J26" s="91" t="str">
        <f>IF(ISBLANK(H22),"",IF(H22&gt;H30,F22,F30))</f>
        <v>Шустваль Евгений</v>
      </c>
      <c r="K26" s="90"/>
      <c r="L26" s="30">
        <v>4</v>
      </c>
      <c r="M26" s="34"/>
    </row>
    <row r="27" spans="1:15" ht="15" customHeight="1" x14ac:dyDescent="0.25">
      <c r="I27" s="33"/>
    </row>
    <row r="28" spans="1:15" ht="15" customHeight="1" x14ac:dyDescent="0.25">
      <c r="A28" s="28">
        <v>3</v>
      </c>
      <c r="B28" s="89" t="s">
        <v>22</v>
      </c>
      <c r="C28" s="90"/>
      <c r="D28" s="30">
        <v>12</v>
      </c>
      <c r="E28" s="31"/>
      <c r="I28" s="33"/>
    </row>
    <row r="29" spans="1:15" ht="15" customHeight="1" x14ac:dyDescent="0.25">
      <c r="E29" s="32"/>
      <c r="I29" s="33"/>
    </row>
    <row r="30" spans="1:15" ht="15" customHeight="1" x14ac:dyDescent="0.25">
      <c r="B30" s="41" t="s">
        <v>6</v>
      </c>
      <c r="C30" s="37">
        <v>9</v>
      </c>
      <c r="E30" s="33"/>
      <c r="F30" s="91" t="str">
        <f>IF(ISBLANK(D28),"",IF(D28&gt;D32,B28,B32))</f>
        <v>Шустваль Евгений</v>
      </c>
      <c r="G30" s="90"/>
      <c r="H30" s="30">
        <v>13</v>
      </c>
      <c r="I30" s="34"/>
    </row>
    <row r="31" spans="1:15" ht="15" customHeight="1" x14ac:dyDescent="0.25">
      <c r="E31" s="33"/>
    </row>
    <row r="32" spans="1:15" ht="15" customHeight="1" x14ac:dyDescent="0.25">
      <c r="A32" s="28">
        <v>6</v>
      </c>
      <c r="B32" s="89" t="s">
        <v>13</v>
      </c>
      <c r="C32" s="90"/>
      <c r="D32" s="30">
        <v>13</v>
      </c>
      <c r="E32" s="34"/>
    </row>
    <row r="36" spans="2:7" ht="15" customHeight="1" x14ac:dyDescent="0.25">
      <c r="B36" s="89" t="str">
        <f>IF(ISBLANK(H6),"",IF(H6&gt;H14,F14,F6))</f>
        <v>Завьялов Валерий</v>
      </c>
      <c r="C36" s="90"/>
      <c r="D36" s="30">
        <v>11</v>
      </c>
      <c r="E36" s="31"/>
      <c r="F36" s="94"/>
      <c r="G36" s="94"/>
    </row>
    <row r="37" spans="2:7" ht="15" customHeight="1" x14ac:dyDescent="0.25">
      <c r="E37" s="32"/>
    </row>
    <row r="38" spans="2:7" ht="15" customHeight="1" x14ac:dyDescent="0.25">
      <c r="B38" s="41" t="s">
        <v>6</v>
      </c>
      <c r="C38" s="37" t="s">
        <v>34</v>
      </c>
      <c r="E38" s="33"/>
      <c r="F38" s="91" t="str">
        <f>IF(ISBLANK(D36),"",IF(D36&gt;D40,B36,B40))</f>
        <v>Лукин Сергей</v>
      </c>
      <c r="G38" s="89"/>
    </row>
    <row r="39" spans="2:7" ht="15" customHeight="1" x14ac:dyDescent="0.25">
      <c r="E39" s="33"/>
    </row>
    <row r="40" spans="2:7" ht="15" customHeight="1" x14ac:dyDescent="0.25">
      <c r="B40" s="89" t="str">
        <f>IF(ISBLANK(H22),"",IF(H22&gt;H30,F30,F22))</f>
        <v>Лукин Сергей</v>
      </c>
      <c r="C40" s="90"/>
      <c r="D40" s="30">
        <v>13</v>
      </c>
      <c r="E40" s="34"/>
    </row>
  </sheetData>
  <mergeCells count="20">
    <mergeCell ref="N18:O18"/>
    <mergeCell ref="B20:C20"/>
    <mergeCell ref="F22:G22"/>
    <mergeCell ref="F38:G38"/>
    <mergeCell ref="B40:C40"/>
    <mergeCell ref="J26:K26"/>
    <mergeCell ref="B28:C28"/>
    <mergeCell ref="F30:G30"/>
    <mergeCell ref="B32:C32"/>
    <mergeCell ref="B36:C36"/>
    <mergeCell ref="F36:G36"/>
    <mergeCell ref="B24:C24"/>
    <mergeCell ref="B12:C12"/>
    <mergeCell ref="F14:G14"/>
    <mergeCell ref="B16:C16"/>
    <mergeCell ref="B1:K1"/>
    <mergeCell ref="B4:C4"/>
    <mergeCell ref="F6:G6"/>
    <mergeCell ref="B8:C8"/>
    <mergeCell ref="J10:K10"/>
  </mergeCells>
  <pageMargins left="0.70866141732283472" right="0.70866141732283472" top="0.74803149606299213" bottom="0.74803149606299213" header="0.31496062992125984" footer="0.31496062992125984"/>
  <pageSetup paperSize="9" scale="78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0"/>
  <sheetViews>
    <sheetView topLeftCell="A20" zoomScaleNormal="100" workbookViewId="0">
      <selection activeCell="D41" sqref="D41"/>
    </sheetView>
  </sheetViews>
  <sheetFormatPr defaultColWidth="9.140625" defaultRowHeight="15" customHeight="1" x14ac:dyDescent="0.25"/>
  <cols>
    <col min="1" max="1" width="9.140625" style="28"/>
    <col min="2" max="2" width="9.140625" style="40" customWidth="1"/>
    <col min="3" max="3" width="9.140625" style="37" customWidth="1"/>
    <col min="4" max="5" width="9.140625" style="27" customWidth="1"/>
    <col min="6" max="6" width="9.140625" style="40" customWidth="1"/>
    <col min="7" max="7" width="9.140625" style="37" customWidth="1"/>
    <col min="8" max="9" width="9.140625" style="27" customWidth="1"/>
    <col min="10" max="10" width="9.140625" style="40" customWidth="1"/>
    <col min="11" max="11" width="9.140625" style="38" customWidth="1"/>
    <col min="12" max="15" width="9.140625" style="27" customWidth="1"/>
    <col min="16" max="16384" width="9.140625" style="27"/>
  </cols>
  <sheetData>
    <row r="1" spans="1:13" ht="59.25" customHeight="1" x14ac:dyDescent="0.25">
      <c r="B1" s="63" t="str">
        <f>'Группа А'!B1:K1</f>
        <v>Турнир "Кубок Абрау", Тет-а-тет, мужчины</v>
      </c>
      <c r="C1" s="63"/>
      <c r="D1" s="63"/>
      <c r="E1" s="63"/>
      <c r="F1" s="63"/>
      <c r="G1" s="63"/>
      <c r="H1" s="63"/>
      <c r="I1" s="63"/>
      <c r="J1" s="63"/>
      <c r="K1" s="63"/>
    </row>
    <row r="2" spans="1:13" ht="15" customHeight="1" x14ac:dyDescent="0.25">
      <c r="B2" s="36" t="s">
        <v>33</v>
      </c>
    </row>
    <row r="4" spans="1:13" ht="15" customHeight="1" x14ac:dyDescent="0.25">
      <c r="A4" s="28">
        <v>9</v>
      </c>
      <c r="B4" s="89" t="s">
        <v>14</v>
      </c>
      <c r="C4" s="90"/>
      <c r="D4" s="30">
        <v>13</v>
      </c>
      <c r="E4" s="31"/>
    </row>
    <row r="5" spans="1:13" ht="15" customHeight="1" x14ac:dyDescent="0.25">
      <c r="E5" s="32"/>
    </row>
    <row r="6" spans="1:13" ht="15" customHeight="1" x14ac:dyDescent="0.25">
      <c r="B6" s="41" t="s">
        <v>6</v>
      </c>
      <c r="C6" s="37">
        <v>1</v>
      </c>
      <c r="E6" s="33"/>
      <c r="F6" s="91" t="str">
        <f>IF(ISBLANK(D4),"",IF(D4&gt;D8,B4,B8))</f>
        <v>Пищанский Виктор</v>
      </c>
      <c r="G6" s="90"/>
      <c r="H6" s="30">
        <v>13</v>
      </c>
      <c r="I6" s="31"/>
    </row>
    <row r="7" spans="1:13" ht="15" customHeight="1" x14ac:dyDescent="0.25">
      <c r="E7" s="33"/>
      <c r="I7" s="32"/>
    </row>
    <row r="8" spans="1:13" ht="15" customHeight="1" x14ac:dyDescent="0.25">
      <c r="A8" s="28">
        <v>16</v>
      </c>
      <c r="B8" s="89" t="s">
        <v>15</v>
      </c>
      <c r="C8" s="90"/>
      <c r="D8" s="30">
        <v>8</v>
      </c>
      <c r="E8" s="34"/>
      <c r="I8" s="33"/>
    </row>
    <row r="9" spans="1:13" ht="15" customHeight="1" x14ac:dyDescent="0.25">
      <c r="I9" s="33"/>
    </row>
    <row r="10" spans="1:13" ht="15" customHeight="1" x14ac:dyDescent="0.25">
      <c r="F10" s="41" t="s">
        <v>6</v>
      </c>
      <c r="G10" s="37">
        <v>18</v>
      </c>
      <c r="H10" s="29"/>
      <c r="I10" s="33"/>
      <c r="J10" s="91" t="str">
        <f>IF(ISBLANK(H6),"",IF(H6&gt;H14,F6,F14))</f>
        <v>Пищанский Виктор</v>
      </c>
      <c r="K10" s="89"/>
      <c r="L10" s="30">
        <v>13</v>
      </c>
      <c r="M10" s="31"/>
    </row>
    <row r="11" spans="1:13" ht="15" customHeight="1" x14ac:dyDescent="0.25">
      <c r="I11" s="33"/>
      <c r="M11" s="32"/>
    </row>
    <row r="12" spans="1:13" ht="15" customHeight="1" x14ac:dyDescent="0.25">
      <c r="A12" s="28">
        <v>12</v>
      </c>
      <c r="B12" s="89" t="s">
        <v>30</v>
      </c>
      <c r="C12" s="90"/>
      <c r="D12" s="30">
        <v>13</v>
      </c>
      <c r="E12" s="31"/>
      <c r="I12" s="33"/>
      <c r="M12" s="33"/>
    </row>
    <row r="13" spans="1:13" ht="15" customHeight="1" x14ac:dyDescent="0.25">
      <c r="E13" s="32"/>
      <c r="I13" s="33"/>
      <c r="M13" s="33"/>
    </row>
    <row r="14" spans="1:13" ht="15" customHeight="1" x14ac:dyDescent="0.25">
      <c r="B14" s="41" t="s">
        <v>6</v>
      </c>
      <c r="C14" s="37">
        <v>2</v>
      </c>
      <c r="E14" s="33"/>
      <c r="F14" s="91" t="str">
        <f>IF(ISBLANK(D12),"",IF(D12&gt;D16,B12,B16))</f>
        <v>Луданов Алексей</v>
      </c>
      <c r="G14" s="90"/>
      <c r="H14" s="30">
        <v>4</v>
      </c>
      <c r="I14" s="34"/>
      <c r="M14" s="33"/>
    </row>
    <row r="15" spans="1:13" ht="15" customHeight="1" x14ac:dyDescent="0.25">
      <c r="E15" s="33"/>
      <c r="M15" s="33"/>
    </row>
    <row r="16" spans="1:13" ht="15" customHeight="1" x14ac:dyDescent="0.25">
      <c r="A16" s="28">
        <v>13</v>
      </c>
      <c r="B16" s="89" t="s">
        <v>20</v>
      </c>
      <c r="C16" s="90"/>
      <c r="D16" s="30">
        <v>11</v>
      </c>
      <c r="E16" s="34"/>
      <c r="M16" s="33"/>
    </row>
    <row r="17" spans="1:15" ht="15" customHeight="1" x14ac:dyDescent="0.25">
      <c r="M17" s="33"/>
    </row>
    <row r="18" spans="1:15" ht="15" customHeight="1" x14ac:dyDescent="0.25">
      <c r="B18" s="41"/>
      <c r="J18" s="41" t="s">
        <v>6</v>
      </c>
      <c r="K18" s="37">
        <v>17</v>
      </c>
      <c r="L18" s="29"/>
      <c r="M18" s="33"/>
      <c r="N18" s="92" t="str">
        <f>IF(ISBLANK(L10),"",IF(L10&gt;L26,J10,J26))</f>
        <v>Пищанский Виктор</v>
      </c>
      <c r="O18" s="93"/>
    </row>
    <row r="19" spans="1:15" ht="15" customHeight="1" x14ac:dyDescent="0.25">
      <c r="M19" s="33"/>
    </row>
    <row r="20" spans="1:15" ht="15" customHeight="1" x14ac:dyDescent="0.25">
      <c r="A20" s="28">
        <v>10</v>
      </c>
      <c r="B20" s="89" t="s">
        <v>38</v>
      </c>
      <c r="C20" s="90"/>
      <c r="D20" s="30">
        <v>9</v>
      </c>
      <c r="E20" s="31"/>
      <c r="M20" s="33"/>
    </row>
    <row r="21" spans="1:15" ht="15" customHeight="1" x14ac:dyDescent="0.25">
      <c r="E21" s="32"/>
      <c r="M21" s="33"/>
    </row>
    <row r="22" spans="1:15" ht="15" customHeight="1" x14ac:dyDescent="0.25">
      <c r="B22" s="41" t="s">
        <v>6</v>
      </c>
      <c r="C22" s="37">
        <v>3</v>
      </c>
      <c r="E22" s="33"/>
      <c r="F22" s="91" t="str">
        <f>IF(ISBLANK(D20),"",IF(D20&gt;D24,B20,B24))</f>
        <v>Иванов Виталий</v>
      </c>
      <c r="G22" s="90"/>
      <c r="H22" s="30">
        <v>8</v>
      </c>
      <c r="I22" s="31"/>
      <c r="M22" s="33"/>
    </row>
    <row r="23" spans="1:15" ht="15" customHeight="1" x14ac:dyDescent="0.25">
      <c r="E23" s="33"/>
      <c r="I23" s="32"/>
      <c r="M23" s="33"/>
    </row>
    <row r="24" spans="1:15" ht="15" customHeight="1" x14ac:dyDescent="0.25">
      <c r="A24" s="28">
        <v>15</v>
      </c>
      <c r="B24" s="89" t="s">
        <v>29</v>
      </c>
      <c r="C24" s="90"/>
      <c r="D24" s="30">
        <v>13</v>
      </c>
      <c r="E24" s="34"/>
      <c r="I24" s="33"/>
      <c r="M24" s="33"/>
    </row>
    <row r="25" spans="1:15" ht="15" customHeight="1" x14ac:dyDescent="0.25">
      <c r="I25" s="33"/>
      <c r="M25" s="33"/>
    </row>
    <row r="26" spans="1:15" ht="15" customHeight="1" x14ac:dyDescent="0.25">
      <c r="F26" s="41" t="s">
        <v>6</v>
      </c>
      <c r="G26" s="37">
        <v>16</v>
      </c>
      <c r="H26" s="29"/>
      <c r="I26" s="33"/>
      <c r="J26" s="91" t="str">
        <f>IF(ISBLANK(H22),"",IF(H22&gt;H30,F22,F30))</f>
        <v>Субанов Руслан</v>
      </c>
      <c r="K26" s="90"/>
      <c r="L26" s="30">
        <v>7</v>
      </c>
      <c r="M26" s="34"/>
    </row>
    <row r="27" spans="1:15" ht="15" customHeight="1" x14ac:dyDescent="0.25">
      <c r="I27" s="33"/>
    </row>
    <row r="28" spans="1:15" ht="15" customHeight="1" x14ac:dyDescent="0.25">
      <c r="A28" s="28">
        <v>11</v>
      </c>
      <c r="B28" s="89" t="s">
        <v>17</v>
      </c>
      <c r="C28" s="90"/>
      <c r="D28" s="30">
        <v>10</v>
      </c>
      <c r="E28" s="31"/>
      <c r="I28" s="33"/>
    </row>
    <row r="29" spans="1:15" ht="15" customHeight="1" x14ac:dyDescent="0.25">
      <c r="E29" s="32"/>
      <c r="I29" s="33"/>
    </row>
    <row r="30" spans="1:15" ht="15" customHeight="1" x14ac:dyDescent="0.25">
      <c r="B30" s="41" t="s">
        <v>6</v>
      </c>
      <c r="C30" s="37">
        <v>4</v>
      </c>
      <c r="E30" s="33"/>
      <c r="F30" s="91" t="str">
        <f>IF(ISBLANK(D28),"",IF(D28&gt;D32,B28,B32))</f>
        <v>Субанов Руслан</v>
      </c>
      <c r="G30" s="90"/>
      <c r="H30" s="30">
        <v>13</v>
      </c>
      <c r="I30" s="34"/>
    </row>
    <row r="31" spans="1:15" ht="15" customHeight="1" x14ac:dyDescent="0.25">
      <c r="E31" s="33"/>
    </row>
    <row r="32" spans="1:15" ht="15" customHeight="1" x14ac:dyDescent="0.25">
      <c r="A32" s="28">
        <v>14</v>
      </c>
      <c r="B32" s="89" t="s">
        <v>16</v>
      </c>
      <c r="C32" s="90"/>
      <c r="D32" s="30">
        <v>13</v>
      </c>
      <c r="E32" s="34"/>
    </row>
    <row r="36" spans="2:7" ht="15" customHeight="1" x14ac:dyDescent="0.25">
      <c r="B36" s="89" t="str">
        <f>IF(ISBLANK(H6),"",IF(H6&gt;H14,F14,F6))</f>
        <v>Луданов Алексей</v>
      </c>
      <c r="C36" s="90"/>
      <c r="D36" s="30">
        <v>13</v>
      </c>
      <c r="E36" s="31"/>
      <c r="F36" s="94"/>
      <c r="G36" s="94"/>
    </row>
    <row r="37" spans="2:7" ht="15" customHeight="1" x14ac:dyDescent="0.25">
      <c r="E37" s="32"/>
    </row>
    <row r="38" spans="2:7" ht="15" customHeight="1" x14ac:dyDescent="0.25">
      <c r="B38" s="41" t="s">
        <v>6</v>
      </c>
      <c r="C38" s="37">
        <v>13</v>
      </c>
      <c r="E38" s="33"/>
      <c r="F38" s="91" t="str">
        <f>IF(ISBLANK(D36),"",IF(D36&gt;D40,B36,B40))</f>
        <v>Луданов Алексей</v>
      </c>
      <c r="G38" s="89"/>
    </row>
    <row r="39" spans="2:7" ht="15" customHeight="1" x14ac:dyDescent="0.25">
      <c r="E39" s="33"/>
    </row>
    <row r="40" spans="2:7" ht="15" customHeight="1" x14ac:dyDescent="0.25">
      <c r="B40" s="89" t="str">
        <f>IF(ISBLANK(H22),"",IF(H22&gt;H30,F30,F22))</f>
        <v>Иванов Виталий</v>
      </c>
      <c r="C40" s="90"/>
      <c r="D40" s="30">
        <v>10</v>
      </c>
      <c r="E40" s="34"/>
    </row>
  </sheetData>
  <mergeCells count="20">
    <mergeCell ref="N18:O18"/>
    <mergeCell ref="B20:C20"/>
    <mergeCell ref="F22:G22"/>
    <mergeCell ref="F38:G38"/>
    <mergeCell ref="B40:C40"/>
    <mergeCell ref="J26:K26"/>
    <mergeCell ref="B28:C28"/>
    <mergeCell ref="F30:G30"/>
    <mergeCell ref="B32:C32"/>
    <mergeCell ref="B36:C36"/>
    <mergeCell ref="F36:G36"/>
    <mergeCell ref="B24:C24"/>
    <mergeCell ref="B12:C12"/>
    <mergeCell ref="F14:G14"/>
    <mergeCell ref="B16:C16"/>
    <mergeCell ref="B1:K1"/>
    <mergeCell ref="B4:C4"/>
    <mergeCell ref="F6:G6"/>
    <mergeCell ref="B8:C8"/>
    <mergeCell ref="J10:K10"/>
  </mergeCells>
  <pageMargins left="0.70866141732283472" right="0.70866141732283472" top="0.74803149606299213" bottom="0.74803149606299213" header="0.31496062992125984" footer="0.31496062992125984"/>
  <pageSetup paperSize="9" scale="78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6"/>
  <sheetViews>
    <sheetView workbookViewId="0">
      <selection activeCell="N7" sqref="N7"/>
    </sheetView>
  </sheetViews>
  <sheetFormatPr defaultRowHeight="15" x14ac:dyDescent="0.25"/>
  <cols>
    <col min="2" max="2" width="11.28515625" customWidth="1"/>
    <col min="3" max="3" width="33.140625" bestFit="1" customWidth="1"/>
  </cols>
  <sheetData>
    <row r="2" spans="2:3" x14ac:dyDescent="0.25">
      <c r="B2" s="42" t="s">
        <v>39</v>
      </c>
    </row>
    <row r="3" spans="2:3" x14ac:dyDescent="0.25">
      <c r="B3" t="s">
        <v>40</v>
      </c>
    </row>
    <row r="4" spans="2:3" x14ac:dyDescent="0.25">
      <c r="B4" s="43" t="s">
        <v>47</v>
      </c>
    </row>
    <row r="6" spans="2:3" x14ac:dyDescent="0.25">
      <c r="B6" s="42" t="s">
        <v>41</v>
      </c>
    </row>
    <row r="7" spans="2:3" x14ac:dyDescent="0.25">
      <c r="B7" t="s">
        <v>42</v>
      </c>
      <c r="C7" t="s">
        <v>55</v>
      </c>
    </row>
    <row r="8" spans="2:3" x14ac:dyDescent="0.25">
      <c r="B8" t="s">
        <v>43</v>
      </c>
      <c r="C8" t="s">
        <v>52</v>
      </c>
    </row>
    <row r="9" spans="2:3" x14ac:dyDescent="0.25">
      <c r="B9" t="s">
        <v>44</v>
      </c>
      <c r="C9" t="s">
        <v>53</v>
      </c>
    </row>
    <row r="10" spans="2:3" x14ac:dyDescent="0.25">
      <c r="B10" s="44" t="s">
        <v>45</v>
      </c>
      <c r="C10" s="44" t="s">
        <v>54</v>
      </c>
    </row>
    <row r="12" spans="2:3" x14ac:dyDescent="0.25">
      <c r="B12" s="42" t="s">
        <v>46</v>
      </c>
    </row>
    <row r="13" spans="2:3" x14ac:dyDescent="0.25">
      <c r="B13" t="s">
        <v>42</v>
      </c>
      <c r="C13" t="s">
        <v>48</v>
      </c>
    </row>
    <row r="14" spans="2:3" x14ac:dyDescent="0.25">
      <c r="B14" t="s">
        <v>43</v>
      </c>
      <c r="C14" t="s">
        <v>49</v>
      </c>
    </row>
    <row r="15" spans="2:3" x14ac:dyDescent="0.25">
      <c r="B15" t="s">
        <v>44</v>
      </c>
      <c r="C15" t="s">
        <v>50</v>
      </c>
    </row>
    <row r="16" spans="2:3" x14ac:dyDescent="0.25">
      <c r="B16" s="44" t="s">
        <v>45</v>
      </c>
      <c r="C16" s="44" t="s">
        <v>51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3"/>
  <sheetViews>
    <sheetView topLeftCell="A2" workbookViewId="0">
      <selection activeCell="B3" sqref="B3:B20"/>
    </sheetView>
  </sheetViews>
  <sheetFormatPr defaultRowHeight="15" x14ac:dyDescent="0.25"/>
  <cols>
    <col min="2" max="2" width="26.85546875" customWidth="1"/>
    <col min="4" max="4" width="9.140625" customWidth="1"/>
    <col min="5" max="5" width="12.140625" customWidth="1"/>
  </cols>
  <sheetData>
    <row r="2" spans="1:5" x14ac:dyDescent="0.25">
      <c r="C2" t="s">
        <v>3</v>
      </c>
      <c r="D2" t="s">
        <v>78</v>
      </c>
      <c r="E2" t="s">
        <v>79</v>
      </c>
    </row>
    <row r="3" spans="1:5" x14ac:dyDescent="0.25">
      <c r="A3">
        <v>1</v>
      </c>
      <c r="B3" s="52" t="s">
        <v>65</v>
      </c>
      <c r="C3">
        <v>1</v>
      </c>
      <c r="D3">
        <v>5</v>
      </c>
    </row>
    <row r="4" spans="1:5" x14ac:dyDescent="0.25">
      <c r="A4">
        <v>2</v>
      </c>
      <c r="B4" s="52" t="s">
        <v>67</v>
      </c>
      <c r="C4">
        <v>1</v>
      </c>
      <c r="D4">
        <v>4</v>
      </c>
      <c r="E4">
        <v>18</v>
      </c>
    </row>
    <row r="5" spans="1:5" x14ac:dyDescent="0.25">
      <c r="A5">
        <v>3</v>
      </c>
      <c r="B5" s="55" t="s">
        <v>22</v>
      </c>
      <c r="C5">
        <v>1</v>
      </c>
      <c r="D5">
        <v>4</v>
      </c>
      <c r="E5">
        <v>18</v>
      </c>
    </row>
    <row r="6" spans="1:5" x14ac:dyDescent="0.25">
      <c r="A6">
        <v>4</v>
      </c>
      <c r="B6" s="52" t="s">
        <v>70</v>
      </c>
      <c r="C6">
        <v>2</v>
      </c>
      <c r="D6">
        <v>4</v>
      </c>
      <c r="E6">
        <v>21</v>
      </c>
    </row>
    <row r="7" spans="1:5" x14ac:dyDescent="0.25">
      <c r="A7">
        <v>5</v>
      </c>
      <c r="B7" s="52" t="s">
        <v>24</v>
      </c>
      <c r="C7">
        <v>2</v>
      </c>
      <c r="D7">
        <v>3</v>
      </c>
      <c r="E7">
        <v>17</v>
      </c>
    </row>
    <row r="8" spans="1:5" x14ac:dyDescent="0.25">
      <c r="A8">
        <v>6</v>
      </c>
      <c r="B8" s="52" t="s">
        <v>13</v>
      </c>
      <c r="C8">
        <v>2</v>
      </c>
      <c r="D8">
        <v>3</v>
      </c>
      <c r="E8">
        <v>-4</v>
      </c>
    </row>
    <row r="9" spans="1:5" x14ac:dyDescent="0.25">
      <c r="A9">
        <v>7</v>
      </c>
      <c r="B9" s="52" t="s">
        <v>64</v>
      </c>
      <c r="C9">
        <v>3</v>
      </c>
      <c r="D9">
        <v>3</v>
      </c>
      <c r="E9">
        <v>8</v>
      </c>
    </row>
    <row r="10" spans="1:5" ht="15.75" thickBot="1" x14ac:dyDescent="0.3">
      <c r="A10">
        <v>8</v>
      </c>
      <c r="B10" s="56" t="s">
        <v>19</v>
      </c>
      <c r="C10" s="58">
        <v>3</v>
      </c>
      <c r="D10" s="58">
        <v>3</v>
      </c>
      <c r="E10" s="58">
        <v>-3</v>
      </c>
    </row>
    <row r="11" spans="1:5" x14ac:dyDescent="0.25">
      <c r="A11">
        <v>9</v>
      </c>
      <c r="B11" s="53" t="s">
        <v>68</v>
      </c>
      <c r="C11">
        <v>3</v>
      </c>
      <c r="D11">
        <v>3</v>
      </c>
      <c r="E11">
        <v>-9</v>
      </c>
    </row>
    <row r="12" spans="1:5" x14ac:dyDescent="0.25">
      <c r="A12">
        <v>10</v>
      </c>
      <c r="B12" s="52" t="s">
        <v>69</v>
      </c>
      <c r="C12">
        <v>4</v>
      </c>
      <c r="D12">
        <v>3</v>
      </c>
      <c r="E12">
        <v>1</v>
      </c>
    </row>
    <row r="13" spans="1:5" x14ac:dyDescent="0.25">
      <c r="A13">
        <v>11</v>
      </c>
      <c r="B13" s="52" t="s">
        <v>74</v>
      </c>
      <c r="C13">
        <v>4</v>
      </c>
      <c r="D13">
        <v>2</v>
      </c>
      <c r="E13">
        <v>2</v>
      </c>
    </row>
    <row r="14" spans="1:5" x14ac:dyDescent="0.25">
      <c r="A14">
        <v>12</v>
      </c>
      <c r="B14" s="52" t="s">
        <v>73</v>
      </c>
      <c r="C14">
        <v>4</v>
      </c>
      <c r="D14">
        <v>2</v>
      </c>
      <c r="E14">
        <v>-23</v>
      </c>
    </row>
    <row r="15" spans="1:5" x14ac:dyDescent="0.25">
      <c r="A15">
        <v>13</v>
      </c>
      <c r="B15" s="52" t="s">
        <v>66</v>
      </c>
      <c r="C15">
        <v>5</v>
      </c>
      <c r="D15">
        <v>2</v>
      </c>
      <c r="E15">
        <v>-8</v>
      </c>
    </row>
    <row r="16" spans="1:5" x14ac:dyDescent="0.25">
      <c r="A16">
        <v>14</v>
      </c>
      <c r="B16" s="52" t="s">
        <v>16</v>
      </c>
      <c r="C16">
        <v>5</v>
      </c>
      <c r="D16">
        <v>1</v>
      </c>
      <c r="E16">
        <v>-7</v>
      </c>
    </row>
    <row r="17" spans="1:5" x14ac:dyDescent="0.25">
      <c r="A17">
        <v>15</v>
      </c>
      <c r="B17" s="52" t="s">
        <v>76</v>
      </c>
      <c r="C17" s="60">
        <v>5</v>
      </c>
      <c r="D17" s="60">
        <v>1</v>
      </c>
      <c r="E17" s="60">
        <v>-15</v>
      </c>
    </row>
    <row r="18" spans="1:5" ht="15.75" thickBot="1" x14ac:dyDescent="0.3">
      <c r="A18">
        <v>16</v>
      </c>
      <c r="B18" s="56" t="s">
        <v>83</v>
      </c>
      <c r="C18" s="58">
        <v>6</v>
      </c>
      <c r="D18" s="58">
        <v>1</v>
      </c>
      <c r="E18" s="58">
        <v>-8</v>
      </c>
    </row>
    <row r="19" spans="1:5" x14ac:dyDescent="0.25">
      <c r="A19">
        <v>17</v>
      </c>
      <c r="B19" s="59" t="s">
        <v>71</v>
      </c>
      <c r="C19">
        <v>6</v>
      </c>
      <c r="D19">
        <v>1</v>
      </c>
      <c r="E19">
        <v>-9</v>
      </c>
    </row>
    <row r="20" spans="1:5" x14ac:dyDescent="0.25">
      <c r="A20">
        <v>18</v>
      </c>
      <c r="B20" s="52" t="s">
        <v>23</v>
      </c>
      <c r="C20">
        <v>6</v>
      </c>
      <c r="D20">
        <v>0</v>
      </c>
      <c r="E20">
        <v>-25</v>
      </c>
    </row>
    <row r="22" spans="1:5" x14ac:dyDescent="0.25">
      <c r="A22" t="s">
        <v>80</v>
      </c>
      <c r="B22" s="57" t="s">
        <v>81</v>
      </c>
    </row>
    <row r="23" spans="1:5" x14ac:dyDescent="0.25">
      <c r="B23" s="57" t="s">
        <v>82</v>
      </c>
    </row>
  </sheetData>
  <sortState ref="A4:E20">
    <sortCondition ref="C4:C20"/>
    <sortCondition descending="1" ref="D4:D20"/>
    <sortCondition descending="1" ref="E4:E20"/>
  </sortState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0"/>
  <sheetViews>
    <sheetView tabSelected="1" workbookViewId="0">
      <selection activeCell="H15" sqref="H15"/>
    </sheetView>
  </sheetViews>
  <sheetFormatPr defaultRowHeight="15" x14ac:dyDescent="0.25"/>
  <cols>
    <col min="2" max="2" width="23.7109375" customWidth="1"/>
    <col min="4" max="4" width="12.42578125" customWidth="1"/>
    <col min="5" max="5" width="13.85546875" customWidth="1"/>
  </cols>
  <sheetData>
    <row r="2" spans="1:5" x14ac:dyDescent="0.25">
      <c r="A2" s="45" t="s">
        <v>86</v>
      </c>
      <c r="B2" s="45" t="s">
        <v>87</v>
      </c>
      <c r="C2" s="45" t="s">
        <v>88</v>
      </c>
      <c r="D2" s="45" t="s">
        <v>89</v>
      </c>
      <c r="E2" s="45" t="s">
        <v>90</v>
      </c>
    </row>
    <row r="3" spans="1:5" x14ac:dyDescent="0.25">
      <c r="A3" s="45">
        <v>1</v>
      </c>
      <c r="B3" s="52" t="s">
        <v>65</v>
      </c>
      <c r="C3" s="45">
        <v>22.5</v>
      </c>
      <c r="D3" s="45">
        <v>1.6</v>
      </c>
      <c r="E3" s="45">
        <f>C3+D3</f>
        <v>24.1</v>
      </c>
    </row>
    <row r="4" spans="1:5" x14ac:dyDescent="0.25">
      <c r="A4" s="45">
        <v>2</v>
      </c>
      <c r="B4" s="52" t="s">
        <v>13</v>
      </c>
      <c r="C4" s="45">
        <v>18</v>
      </c>
      <c r="D4" s="45">
        <v>1.4</v>
      </c>
      <c r="E4" s="45">
        <f t="shared" ref="E4:E20" si="0">C4+D4</f>
        <v>19.399999999999999</v>
      </c>
    </row>
    <row r="5" spans="1:5" x14ac:dyDescent="0.25">
      <c r="A5" s="45">
        <v>3</v>
      </c>
      <c r="B5" s="52" t="s">
        <v>67</v>
      </c>
      <c r="C5" s="45">
        <v>14.4</v>
      </c>
      <c r="D5" s="45">
        <v>1.2</v>
      </c>
      <c r="E5" s="45">
        <f t="shared" si="0"/>
        <v>15.6</v>
      </c>
    </row>
    <row r="6" spans="1:5" x14ac:dyDescent="0.25">
      <c r="A6" s="45">
        <v>4</v>
      </c>
      <c r="B6" s="52" t="s">
        <v>24</v>
      </c>
      <c r="C6" s="45">
        <v>10.8</v>
      </c>
      <c r="D6" s="45">
        <v>0.999999999999999</v>
      </c>
      <c r="E6" s="45">
        <f t="shared" si="0"/>
        <v>11.799999999999999</v>
      </c>
    </row>
    <row r="7" spans="1:5" x14ac:dyDescent="0.25">
      <c r="A7" s="45">
        <v>5</v>
      </c>
      <c r="B7" s="55" t="s">
        <v>22</v>
      </c>
      <c r="C7" s="45">
        <v>8.1</v>
      </c>
      <c r="D7" s="45">
        <v>0.79999999999999905</v>
      </c>
      <c r="E7" s="45">
        <f t="shared" si="0"/>
        <v>8.8999999999999986</v>
      </c>
    </row>
    <row r="8" spans="1:5" x14ac:dyDescent="0.25">
      <c r="A8" s="45">
        <v>6</v>
      </c>
      <c r="B8" s="52" t="s">
        <v>70</v>
      </c>
      <c r="C8" s="45">
        <v>5.4</v>
      </c>
      <c r="D8" s="45">
        <v>0.6</v>
      </c>
      <c r="E8" s="45">
        <f t="shared" si="0"/>
        <v>6</v>
      </c>
    </row>
    <row r="9" spans="1:5" x14ac:dyDescent="0.25">
      <c r="A9" s="45">
        <v>7</v>
      </c>
      <c r="B9" s="52" t="s">
        <v>64</v>
      </c>
      <c r="C9" s="45">
        <v>3.6</v>
      </c>
      <c r="D9" s="45">
        <v>0.4</v>
      </c>
      <c r="E9" s="45">
        <f t="shared" si="0"/>
        <v>4</v>
      </c>
    </row>
    <row r="10" spans="1:5" x14ac:dyDescent="0.25">
      <c r="A10" s="45">
        <v>8</v>
      </c>
      <c r="B10" s="52" t="s">
        <v>19</v>
      </c>
      <c r="C10" s="45">
        <v>2.7</v>
      </c>
      <c r="D10" s="45">
        <v>0.2</v>
      </c>
      <c r="E10" s="45">
        <f t="shared" si="0"/>
        <v>2.9000000000000004</v>
      </c>
    </row>
    <row r="11" spans="1:5" x14ac:dyDescent="0.25">
      <c r="A11" s="45">
        <v>9</v>
      </c>
      <c r="B11" s="52" t="s">
        <v>68</v>
      </c>
      <c r="C11" s="45">
        <v>2.4</v>
      </c>
      <c r="D11" s="45"/>
      <c r="E11" s="45">
        <f t="shared" si="0"/>
        <v>2.4</v>
      </c>
    </row>
    <row r="12" spans="1:5" x14ac:dyDescent="0.25">
      <c r="A12" s="45">
        <v>10</v>
      </c>
      <c r="B12" s="52" t="s">
        <v>16</v>
      </c>
      <c r="C12" s="45">
        <v>2.1</v>
      </c>
      <c r="D12" s="45"/>
      <c r="E12" s="45">
        <f t="shared" si="0"/>
        <v>2.1</v>
      </c>
    </row>
    <row r="13" spans="1:5" x14ac:dyDescent="0.25">
      <c r="A13" s="45">
        <v>11</v>
      </c>
      <c r="B13" s="52" t="s">
        <v>73</v>
      </c>
      <c r="C13" s="45">
        <v>1.8</v>
      </c>
      <c r="D13" s="45"/>
      <c r="E13" s="45">
        <f t="shared" si="0"/>
        <v>1.8</v>
      </c>
    </row>
    <row r="14" spans="1:5" x14ac:dyDescent="0.25">
      <c r="A14" s="45">
        <v>12</v>
      </c>
      <c r="B14" s="52" t="s">
        <v>76</v>
      </c>
      <c r="C14" s="45">
        <v>1.5</v>
      </c>
      <c r="D14" s="45"/>
      <c r="E14" s="45">
        <f t="shared" si="0"/>
        <v>1.5</v>
      </c>
    </row>
    <row r="15" spans="1:5" x14ac:dyDescent="0.25">
      <c r="A15" s="45">
        <v>13</v>
      </c>
      <c r="B15" s="52" t="s">
        <v>69</v>
      </c>
      <c r="C15" s="45">
        <v>1.2</v>
      </c>
      <c r="D15" s="45"/>
      <c r="E15" s="45">
        <f t="shared" si="0"/>
        <v>1.2</v>
      </c>
    </row>
    <row r="16" spans="1:5" x14ac:dyDescent="0.25">
      <c r="A16" s="45">
        <v>14</v>
      </c>
      <c r="B16" s="52" t="s">
        <v>74</v>
      </c>
      <c r="C16" s="45">
        <v>0.9</v>
      </c>
      <c r="D16" s="45"/>
      <c r="E16" s="45">
        <f t="shared" si="0"/>
        <v>0.9</v>
      </c>
    </row>
    <row r="17" spans="1:5" x14ac:dyDescent="0.25">
      <c r="A17" s="45">
        <v>15</v>
      </c>
      <c r="B17" s="52" t="s">
        <v>66</v>
      </c>
      <c r="C17" s="45">
        <v>0.6</v>
      </c>
      <c r="D17" s="45"/>
      <c r="E17" s="45">
        <f t="shared" si="0"/>
        <v>0.6</v>
      </c>
    </row>
    <row r="18" spans="1:5" x14ac:dyDescent="0.25">
      <c r="A18" s="45">
        <v>16</v>
      </c>
      <c r="B18" s="52" t="s">
        <v>83</v>
      </c>
      <c r="C18" s="45">
        <v>0.3</v>
      </c>
      <c r="D18" s="45"/>
      <c r="E18" s="45">
        <f t="shared" si="0"/>
        <v>0.3</v>
      </c>
    </row>
    <row r="19" spans="1:5" x14ac:dyDescent="0.25">
      <c r="A19" s="45">
        <v>17</v>
      </c>
      <c r="B19" s="47" t="s">
        <v>71</v>
      </c>
      <c r="C19" s="45">
        <v>0.15</v>
      </c>
      <c r="D19" s="45"/>
      <c r="E19" s="45">
        <f t="shared" si="0"/>
        <v>0.15</v>
      </c>
    </row>
    <row r="20" spans="1:5" x14ac:dyDescent="0.25">
      <c r="A20" s="45">
        <v>18</v>
      </c>
      <c r="B20" s="52" t="s">
        <v>23</v>
      </c>
      <c r="C20" s="45">
        <v>0.15</v>
      </c>
      <c r="D20" s="45"/>
      <c r="E20" s="45">
        <f t="shared" si="0"/>
        <v>0.15</v>
      </c>
    </row>
  </sheetData>
  <sortState ref="A3:B20">
    <sortCondition ref="A3:A2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Регистрация</vt:lpstr>
      <vt:lpstr>Группа А</vt:lpstr>
      <vt:lpstr>Группа В</vt:lpstr>
      <vt:lpstr>Группа С</vt:lpstr>
      <vt:lpstr>Плей офф М (А)</vt:lpstr>
      <vt:lpstr>Плей офф М (В)</vt:lpstr>
      <vt:lpstr>Итоги</vt:lpstr>
      <vt:lpstr>Ранжирование</vt:lpstr>
      <vt:lpstr>Рейтинг край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Макс</cp:lastModifiedBy>
  <dcterms:created xsi:type="dcterms:W3CDTF">2026-05-01T16:39:30Z</dcterms:created>
  <dcterms:modified xsi:type="dcterms:W3CDTF">2026-05-05T17:22:01Z</dcterms:modified>
</cp:coreProperties>
</file>