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65" windowWidth="18975" windowHeight="7200" activeTab="6"/>
  </bookViews>
  <sheets>
    <sheet name="ОРТ муж" sheetId="35" r:id="rId1"/>
    <sheet name="Итоги ГП России ОРТ муж" sheetId="53" r:id="rId2"/>
    <sheet name="ОРТ жен группа А" sheetId="42" r:id="rId3"/>
    <sheet name="ОРТ жен группа В" sheetId="43" r:id="rId4"/>
    <sheet name="ОРТ жен кубок А" sheetId="44" r:id="rId5"/>
    <sheet name="ОРТ жен кубок В" sheetId="45" r:id="rId6"/>
    <sheet name="ОРТ жен кубок С" sheetId="46" r:id="rId7"/>
    <sheet name="Итоги ГП России ОРТ жен" sheetId="54" r:id="rId8"/>
    <sheet name="Кубок ВФБ группа А" sheetId="47" r:id="rId9"/>
    <sheet name="Кубок ВФБ группа В" sheetId="48" r:id="rId10"/>
    <sheet name="Кубок ВФБ группа С" sheetId="49" r:id="rId11"/>
    <sheet name="Кубок ВФБ группа D" sheetId="15" r:id="rId12"/>
    <sheet name="Кубок ВФБ кубок А" sheetId="20" r:id="rId13"/>
    <sheet name="Кубок ВФБ кубок В" sheetId="51" r:id="rId14"/>
    <sheet name="Кубок ВФБ кубок С" sheetId="41" r:id="rId15"/>
    <sheet name="Кубок ВФБ кубок D" sheetId="19" r:id="rId16"/>
    <sheet name="Итоги ГП России Кубок ВФБ двойк" sheetId="52" r:id="rId17"/>
    <sheet name="Служебный лист" sheetId="4" state="hidden" r:id="rId18"/>
  </sheets>
  <calcPr calcId="114210"/>
</workbook>
</file>

<file path=xl/calcChain.xml><?xml version="1.0" encoding="utf-8"?>
<calcChain xmlns="http://schemas.openxmlformats.org/spreadsheetml/2006/main">
  <c r="F6" i="51"/>
  <c r="J10"/>
  <c r="F14"/>
  <c r="B20"/>
  <c r="F22"/>
  <c r="B24"/>
  <c r="G4" i="49"/>
  <c r="H4"/>
  <c r="I4"/>
  <c r="G5"/>
  <c r="H5"/>
  <c r="I5"/>
  <c r="J4"/>
  <c r="K5"/>
  <c r="F6"/>
  <c r="H6"/>
  <c r="I6"/>
  <c r="F7"/>
  <c r="H7"/>
  <c r="I7"/>
  <c r="J6"/>
  <c r="K7"/>
  <c r="F8"/>
  <c r="G8"/>
  <c r="I8"/>
  <c r="F9"/>
  <c r="G9"/>
  <c r="I9"/>
  <c r="J8"/>
  <c r="K9"/>
  <c r="F10"/>
  <c r="G10"/>
  <c r="H10"/>
  <c r="F11"/>
  <c r="G11"/>
  <c r="H11"/>
  <c r="J10"/>
  <c r="K11"/>
  <c r="C16"/>
  <c r="H16"/>
  <c r="C17"/>
  <c r="H17"/>
  <c r="C20"/>
  <c r="H20"/>
  <c r="C21"/>
  <c r="H21"/>
  <c r="C24"/>
  <c r="H24"/>
  <c r="C25"/>
  <c r="H25"/>
  <c r="G4" i="48"/>
  <c r="H4"/>
  <c r="I4"/>
  <c r="G5"/>
  <c r="H5"/>
  <c r="I5"/>
  <c r="J4"/>
  <c r="K5"/>
  <c r="F6"/>
  <c r="H6"/>
  <c r="I6"/>
  <c r="F7"/>
  <c r="H7"/>
  <c r="I7"/>
  <c r="J6"/>
  <c r="K7"/>
  <c r="F8"/>
  <c r="G8"/>
  <c r="I8"/>
  <c r="F9"/>
  <c r="G9"/>
  <c r="I9"/>
  <c r="J8"/>
  <c r="K9"/>
  <c r="F10"/>
  <c r="G10"/>
  <c r="H10"/>
  <c r="F11"/>
  <c r="G11"/>
  <c r="H11"/>
  <c r="J10"/>
  <c r="K11"/>
  <c r="C16"/>
  <c r="H16"/>
  <c r="C17"/>
  <c r="H17"/>
  <c r="C20"/>
  <c r="H20"/>
  <c r="C21"/>
  <c r="H21"/>
  <c r="C24"/>
  <c r="H24"/>
  <c r="C25"/>
  <c r="H25"/>
  <c r="G4" i="47"/>
  <c r="H4"/>
  <c r="I4"/>
  <c r="G5"/>
  <c r="H5"/>
  <c r="I5"/>
  <c r="J4"/>
  <c r="K5"/>
  <c r="F6"/>
  <c r="H6"/>
  <c r="I6"/>
  <c r="F7"/>
  <c r="H7"/>
  <c r="I7"/>
  <c r="J6"/>
  <c r="K7"/>
  <c r="F8"/>
  <c r="G8"/>
  <c r="I8"/>
  <c r="F9"/>
  <c r="G9"/>
  <c r="I9"/>
  <c r="J8"/>
  <c r="K9"/>
  <c r="F10"/>
  <c r="G10"/>
  <c r="H10"/>
  <c r="F11"/>
  <c r="G11"/>
  <c r="H11"/>
  <c r="J10"/>
  <c r="K11"/>
  <c r="C16"/>
  <c r="H16"/>
  <c r="C17"/>
  <c r="H17"/>
  <c r="C20"/>
  <c r="H20"/>
  <c r="C21"/>
  <c r="H21"/>
  <c r="C24"/>
  <c r="H24"/>
  <c r="C25"/>
  <c r="H25"/>
  <c r="F6" i="46"/>
  <c r="J10"/>
  <c r="F14"/>
  <c r="B20"/>
  <c r="F22"/>
  <c r="B24"/>
  <c r="F6" i="45"/>
  <c r="J10"/>
  <c r="F14"/>
  <c r="B20"/>
  <c r="F22"/>
  <c r="B24"/>
  <c r="F6" i="44"/>
  <c r="J10"/>
  <c r="F14"/>
  <c r="B20"/>
  <c r="B24"/>
  <c r="F22"/>
  <c r="G4" i="43"/>
  <c r="H4"/>
  <c r="I4"/>
  <c r="J4"/>
  <c r="K4"/>
  <c r="G5"/>
  <c r="H5"/>
  <c r="I5"/>
  <c r="J5"/>
  <c r="K5"/>
  <c r="L4"/>
  <c r="M5"/>
  <c r="F6"/>
  <c r="H6"/>
  <c r="I6"/>
  <c r="J6"/>
  <c r="K6"/>
  <c r="F7"/>
  <c r="H7"/>
  <c r="I7"/>
  <c r="J7"/>
  <c r="K7"/>
  <c r="L6"/>
  <c r="M7"/>
  <c r="F8"/>
  <c r="G8"/>
  <c r="I8"/>
  <c r="J8"/>
  <c r="K8"/>
  <c r="F9"/>
  <c r="G9"/>
  <c r="I9"/>
  <c r="J9"/>
  <c r="K9"/>
  <c r="L8"/>
  <c r="M9"/>
  <c r="F10"/>
  <c r="G10"/>
  <c r="H10"/>
  <c r="J10"/>
  <c r="K10"/>
  <c r="F11"/>
  <c r="G11"/>
  <c r="H11"/>
  <c r="J11"/>
  <c r="K11"/>
  <c r="L10"/>
  <c r="M11"/>
  <c r="F12"/>
  <c r="G12"/>
  <c r="H12"/>
  <c r="I12"/>
  <c r="K12"/>
  <c r="F13"/>
  <c r="G13"/>
  <c r="H13"/>
  <c r="I13"/>
  <c r="K13"/>
  <c r="L12"/>
  <c r="M13"/>
  <c r="F14"/>
  <c r="G14"/>
  <c r="H14"/>
  <c r="I14"/>
  <c r="J14"/>
  <c r="F15"/>
  <c r="G15"/>
  <c r="H15"/>
  <c r="I15"/>
  <c r="J15"/>
  <c r="L14"/>
  <c r="M15"/>
  <c r="C20"/>
  <c r="H20"/>
  <c r="C21"/>
  <c r="H21"/>
  <c r="C22"/>
  <c r="H22"/>
  <c r="C25"/>
  <c r="H25"/>
  <c r="C26"/>
  <c r="H26"/>
  <c r="C27"/>
  <c r="H27"/>
  <c r="C30"/>
  <c r="H30"/>
  <c r="C31"/>
  <c r="H31"/>
  <c r="C32"/>
  <c r="H32"/>
  <c r="C35"/>
  <c r="H35"/>
  <c r="C36"/>
  <c r="H36"/>
  <c r="C37"/>
  <c r="H37"/>
  <c r="C40"/>
  <c r="H40"/>
  <c r="C41"/>
  <c r="H41"/>
  <c r="C42"/>
  <c r="H42"/>
  <c r="G4" i="42"/>
  <c r="H4"/>
  <c r="I4"/>
  <c r="J4"/>
  <c r="K4"/>
  <c r="G5"/>
  <c r="H5"/>
  <c r="I5"/>
  <c r="J5"/>
  <c r="K5"/>
  <c r="L4"/>
  <c r="M5"/>
  <c r="F6"/>
  <c r="H6"/>
  <c r="I6"/>
  <c r="J6"/>
  <c r="K6"/>
  <c r="F7"/>
  <c r="H7"/>
  <c r="I7"/>
  <c r="J7"/>
  <c r="K7"/>
  <c r="L6"/>
  <c r="M7"/>
  <c r="F8"/>
  <c r="G8"/>
  <c r="I8"/>
  <c r="J8"/>
  <c r="K8"/>
  <c r="F9"/>
  <c r="G9"/>
  <c r="I9"/>
  <c r="J9"/>
  <c r="K9"/>
  <c r="L8"/>
  <c r="M9"/>
  <c r="F10"/>
  <c r="G10"/>
  <c r="H10"/>
  <c r="J10"/>
  <c r="K10"/>
  <c r="F11"/>
  <c r="G11"/>
  <c r="H11"/>
  <c r="J11"/>
  <c r="K11"/>
  <c r="L10"/>
  <c r="M11"/>
  <c r="F12"/>
  <c r="G12"/>
  <c r="H12"/>
  <c r="I12"/>
  <c r="K12"/>
  <c r="F13"/>
  <c r="G13"/>
  <c r="H13"/>
  <c r="I13"/>
  <c r="K13"/>
  <c r="L12"/>
  <c r="M13"/>
  <c r="F14"/>
  <c r="G14"/>
  <c r="H14"/>
  <c r="I14"/>
  <c r="J14"/>
  <c r="F15"/>
  <c r="G15"/>
  <c r="H15"/>
  <c r="I15"/>
  <c r="J15"/>
  <c r="L14"/>
  <c r="M15"/>
  <c r="C20"/>
  <c r="H20"/>
  <c r="C21"/>
  <c r="H21"/>
  <c r="C22"/>
  <c r="H22"/>
  <c r="C25"/>
  <c r="H25"/>
  <c r="C26"/>
  <c r="H26"/>
  <c r="C27"/>
  <c r="H27"/>
  <c r="C30"/>
  <c r="H30"/>
  <c r="C31"/>
  <c r="H31"/>
  <c r="C32"/>
  <c r="H32"/>
  <c r="C35"/>
  <c r="H35"/>
  <c r="C36"/>
  <c r="H36"/>
  <c r="C37"/>
  <c r="H37"/>
  <c r="C40"/>
  <c r="H40"/>
  <c r="C41"/>
  <c r="H41"/>
  <c r="C42"/>
  <c r="H42"/>
  <c r="F6" i="41"/>
  <c r="J10"/>
  <c r="F14"/>
  <c r="N18"/>
  <c r="F22"/>
  <c r="J26"/>
  <c r="F30"/>
  <c r="B36"/>
  <c r="F38"/>
  <c r="B40"/>
  <c r="B24" i="19"/>
  <c r="B20"/>
  <c r="F22"/>
  <c r="F14"/>
  <c r="J10"/>
  <c r="F6"/>
  <c r="I25" i="4"/>
  <c r="J25"/>
  <c r="I26"/>
  <c r="J26"/>
  <c r="I27"/>
  <c r="J27"/>
  <c r="I28"/>
  <c r="J28"/>
  <c r="I30"/>
  <c r="J30"/>
  <c r="I31"/>
  <c r="J31"/>
  <c r="I32"/>
  <c r="J32"/>
  <c r="I33"/>
  <c r="J33"/>
  <c r="I34"/>
  <c r="J34"/>
  <c r="I36"/>
  <c r="J36"/>
  <c r="I37"/>
  <c r="J37"/>
  <c r="I38"/>
  <c r="J38"/>
  <c r="I39"/>
  <c r="J39"/>
  <c r="I40"/>
  <c r="J40"/>
  <c r="I42"/>
  <c r="J42"/>
  <c r="I43"/>
  <c r="J43"/>
  <c r="I44"/>
  <c r="J44"/>
  <c r="I45"/>
  <c r="J45"/>
  <c r="I46"/>
  <c r="J46"/>
  <c r="I48"/>
  <c r="J48"/>
  <c r="I49"/>
  <c r="J49"/>
  <c r="I50"/>
  <c r="J50"/>
  <c r="I51"/>
  <c r="J51"/>
  <c r="I52"/>
  <c r="J52"/>
  <c r="I54"/>
  <c r="J54"/>
  <c r="I55"/>
  <c r="J55"/>
  <c r="I56"/>
  <c r="J56"/>
  <c r="I57"/>
  <c r="J57"/>
  <c r="I58"/>
  <c r="J58"/>
  <c r="I60"/>
  <c r="J60"/>
  <c r="I61"/>
  <c r="J61"/>
  <c r="I62"/>
  <c r="J62"/>
  <c r="I63"/>
  <c r="J63"/>
  <c r="J24"/>
  <c r="I24"/>
  <c r="A8"/>
  <c r="B8"/>
  <c r="C8"/>
  <c r="D8"/>
  <c r="O8"/>
  <c r="E8"/>
  <c r="F8"/>
  <c r="G8"/>
  <c r="H8"/>
  <c r="S8"/>
  <c r="H1"/>
  <c r="H2"/>
  <c r="H3"/>
  <c r="H4"/>
  <c r="AB4"/>
  <c r="H5"/>
  <c r="H6"/>
  <c r="H7"/>
  <c r="G12" i="35"/>
  <c r="G10"/>
  <c r="I16"/>
  <c r="I4"/>
  <c r="I14"/>
  <c r="L8"/>
  <c r="AB17" i="4"/>
  <c r="H16" i="35"/>
  <c r="L4"/>
  <c r="S25" i="4"/>
  <c r="F10" i="35"/>
  <c r="M12"/>
  <c r="K6"/>
  <c r="J16"/>
  <c r="AB18" i="4"/>
  <c r="K12" i="35"/>
  <c r="F14"/>
  <c r="H18"/>
  <c r="I8"/>
  <c r="G14"/>
  <c r="J4"/>
  <c r="S26" i="4"/>
  <c r="M16" i="35"/>
  <c r="J6"/>
  <c r="G8"/>
  <c r="M6"/>
  <c r="J10"/>
  <c r="K8"/>
  <c r="M10"/>
  <c r="L12"/>
  <c r="I6"/>
  <c r="F12"/>
  <c r="L18"/>
  <c r="F18"/>
  <c r="F8"/>
  <c r="L10"/>
  <c r="J14"/>
  <c r="J18"/>
  <c r="K4"/>
  <c r="K10"/>
  <c r="K18"/>
  <c r="O26" i="4"/>
  <c r="J8" i="35"/>
  <c r="H12"/>
  <c r="G18"/>
  <c r="G4"/>
  <c r="M8"/>
  <c r="M4"/>
  <c r="G16"/>
  <c r="L6"/>
  <c r="I12"/>
  <c r="L14"/>
  <c r="H10"/>
  <c r="M14"/>
  <c r="H6"/>
  <c r="O25" i="4"/>
  <c r="K16" i="35"/>
  <c r="H14"/>
  <c r="H4"/>
  <c r="F16"/>
  <c r="F6"/>
  <c r="I18"/>
  <c r="S7" i="4"/>
  <c r="R8"/>
  <c r="AB6"/>
  <c r="AB2"/>
  <c r="Q8"/>
  <c r="M8"/>
  <c r="S3"/>
  <c r="N8"/>
  <c r="S5"/>
  <c r="S1"/>
  <c r="P8"/>
  <c r="L8"/>
  <c r="S2"/>
  <c r="S6"/>
  <c r="S4"/>
  <c r="AB7"/>
  <c r="AB5"/>
  <c r="AB3"/>
  <c r="AB1"/>
  <c r="AA8"/>
  <c r="Y8"/>
  <c r="W8"/>
  <c r="U8"/>
  <c r="AB8"/>
  <c r="Z8"/>
  <c r="X8"/>
  <c r="V8"/>
  <c r="A7"/>
  <c r="B7"/>
  <c r="M7"/>
  <c r="C7"/>
  <c r="D7"/>
  <c r="O7"/>
  <c r="E7"/>
  <c r="F7"/>
  <c r="Q7"/>
  <c r="G7"/>
  <c r="F2"/>
  <c r="G2"/>
  <c r="F3"/>
  <c r="G3"/>
  <c r="AA3"/>
  <c r="F4"/>
  <c r="G4"/>
  <c r="F5"/>
  <c r="G5"/>
  <c r="F6"/>
  <c r="G6"/>
  <c r="G1"/>
  <c r="AA1"/>
  <c r="AA6"/>
  <c r="AA5"/>
  <c r="AA4"/>
  <c r="AA2"/>
  <c r="AA7"/>
  <c r="Y7"/>
  <c r="W7"/>
  <c r="U7"/>
  <c r="R5"/>
  <c r="R3"/>
  <c r="R1"/>
  <c r="Z7"/>
  <c r="X7"/>
  <c r="V7"/>
  <c r="R7"/>
  <c r="P7"/>
  <c r="N7"/>
  <c r="L7"/>
  <c r="R6"/>
  <c r="R4"/>
  <c r="R2"/>
  <c r="Y25"/>
  <c r="AB26"/>
  <c r="AB23"/>
  <c r="P26"/>
  <c r="S15"/>
  <c r="I7" i="35"/>
  <c r="M24" i="4"/>
  <c r="M5" i="35"/>
  <c r="G17"/>
  <c r="L26" i="4"/>
  <c r="K19" i="35"/>
  <c r="L5"/>
  <c r="J19"/>
  <c r="F19"/>
  <c r="N23" i="4"/>
  <c r="R20"/>
  <c r="Y23"/>
  <c r="N24"/>
  <c r="AA24"/>
  <c r="G11" i="35"/>
  <c r="L9"/>
  <c r="S12" i="4"/>
  <c r="Y26"/>
  <c r="AB22"/>
  <c r="H11" i="35"/>
  <c r="AA11" i="4"/>
  <c r="M11" i="35"/>
  <c r="AB16" i="4"/>
  <c r="I13" i="35"/>
  <c r="M9"/>
  <c r="X25" i="4"/>
  <c r="AB21"/>
  <c r="M17" i="35"/>
  <c r="J9"/>
  <c r="AB24" i="4"/>
  <c r="R19"/>
  <c r="R12"/>
  <c r="U24"/>
  <c r="R18"/>
  <c r="R24"/>
  <c r="H63" i="35"/>
  <c r="C55"/>
  <c r="H50"/>
  <c r="R13" i="4"/>
  <c r="L23"/>
  <c r="AA19"/>
  <c r="V24"/>
  <c r="H37" i="35"/>
  <c r="L7"/>
  <c r="H17"/>
  <c r="G9"/>
  <c r="K11"/>
  <c r="AA16" i="4"/>
  <c r="H13" i="35"/>
  <c r="F13"/>
  <c r="X23" i="4"/>
  <c r="H15" i="35"/>
  <c r="H19"/>
  <c r="J5"/>
  <c r="AA25" i="4"/>
  <c r="N26"/>
  <c r="Y24"/>
  <c r="AA13"/>
  <c r="L15" i="35"/>
  <c r="U25" i="4"/>
  <c r="V26"/>
  <c r="S14"/>
  <c r="AB25"/>
  <c r="I9" i="35"/>
  <c r="R25" i="4"/>
  <c r="Z25"/>
  <c r="X26"/>
  <c r="G15" i="35"/>
  <c r="S18" i="4"/>
  <c r="G5" i="35"/>
  <c r="J17"/>
  <c r="AB13" i="4"/>
  <c r="O23"/>
  <c r="G19" i="35"/>
  <c r="S23" i="4"/>
  <c r="Z23"/>
  <c r="AA18"/>
  <c r="R21"/>
  <c r="J11" i="35"/>
  <c r="Q24" i="4"/>
  <c r="K7" i="35"/>
  <c r="M7"/>
  <c r="AB11" i="4"/>
  <c r="S20"/>
  <c r="F7" i="35"/>
  <c r="G13"/>
  <c r="S22" i="4"/>
  <c r="U26"/>
  <c r="AA15"/>
  <c r="L25"/>
  <c r="AB19"/>
  <c r="S11"/>
  <c r="M13" i="35"/>
  <c r="R17" i="4"/>
  <c r="R14"/>
  <c r="AA14"/>
  <c r="C36" i="35"/>
  <c r="R16" i="4"/>
  <c r="R23"/>
  <c r="C63" i="35"/>
  <c r="H33"/>
  <c r="H30"/>
  <c r="W24" i="4"/>
  <c r="V23"/>
  <c r="C39" i="35"/>
  <c r="C33"/>
  <c r="Q25" i="4"/>
  <c r="S21"/>
  <c r="P25"/>
  <c r="F17" i="35"/>
  <c r="AA26" i="4"/>
  <c r="S24"/>
  <c r="W25"/>
  <c r="C24" i="35"/>
  <c r="AA21" i="4"/>
  <c r="AA17"/>
  <c r="R11"/>
  <c r="C42" i="35"/>
  <c r="I17"/>
  <c r="L13"/>
  <c r="K5"/>
  <c r="R26" i="4"/>
  <c r="H5" i="35"/>
  <c r="L19"/>
  <c r="O24" i="4"/>
  <c r="V25"/>
  <c r="AA12"/>
  <c r="W26"/>
  <c r="M23"/>
  <c r="K17" i="35"/>
  <c r="M26" i="4"/>
  <c r="M15" i="35"/>
  <c r="S19" i="4"/>
  <c r="AB12"/>
  <c r="P23"/>
  <c r="R15"/>
  <c r="P24"/>
  <c r="U23"/>
  <c r="L24"/>
  <c r="W23"/>
  <c r="K9" i="35"/>
  <c r="Q26" i="4"/>
  <c r="S16"/>
  <c r="Q23"/>
  <c r="Z26"/>
  <c r="M25"/>
  <c r="F9" i="35"/>
  <c r="J7"/>
  <c r="I15"/>
  <c r="S13" i="4"/>
  <c r="AB20"/>
  <c r="N25"/>
  <c r="AA22"/>
  <c r="C45" i="35"/>
  <c r="C51"/>
  <c r="H42"/>
  <c r="C49"/>
  <c r="Z24" i="4"/>
  <c r="AA20"/>
  <c r="H55" i="35"/>
  <c r="H25"/>
  <c r="H31"/>
  <c r="C32"/>
  <c r="H54"/>
  <c r="R22" i="4"/>
  <c r="H27" i="35"/>
  <c r="C43"/>
  <c r="H38"/>
  <c r="H24"/>
  <c r="C48"/>
  <c r="H7"/>
  <c r="S17" i="4"/>
  <c r="AB14"/>
  <c r="L11" i="35"/>
  <c r="AB15" i="4"/>
  <c r="J15" i="35"/>
  <c r="F11"/>
  <c r="I5"/>
  <c r="F15"/>
  <c r="I19"/>
  <c r="K13"/>
  <c r="C44"/>
  <c r="H49"/>
  <c r="AA23" i="4"/>
  <c r="X24"/>
  <c r="H26" i="35"/>
  <c r="H51"/>
  <c r="H45"/>
  <c r="C25"/>
  <c r="C56"/>
  <c r="C61"/>
  <c r="H43"/>
  <c r="H56"/>
  <c r="C50"/>
  <c r="H39"/>
  <c r="C31"/>
  <c r="C62"/>
  <c r="H60"/>
  <c r="H36"/>
  <c r="H48"/>
  <c r="C30"/>
  <c r="H32"/>
  <c r="C57"/>
  <c r="H61"/>
  <c r="C37"/>
  <c r="C26"/>
  <c r="C27"/>
  <c r="H57"/>
  <c r="C60"/>
  <c r="C38"/>
  <c r="R28" i="4"/>
  <c r="R39"/>
  <c r="L40"/>
  <c r="R30"/>
  <c r="R40"/>
  <c r="R33"/>
  <c r="R41"/>
  <c r="R35"/>
  <c r="R29"/>
  <c r="R31"/>
  <c r="R36"/>
  <c r="R34"/>
  <c r="N42"/>
  <c r="S28"/>
  <c r="S30"/>
  <c r="L42"/>
  <c r="N43"/>
  <c r="O15" i="35"/>
  <c r="N14"/>
  <c r="O42" i="4"/>
  <c r="S41"/>
  <c r="N8" i="35"/>
  <c r="O9"/>
  <c r="S39" i="4"/>
  <c r="M42"/>
  <c r="N10" i="35"/>
  <c r="O11"/>
  <c r="N6"/>
  <c r="O7"/>
  <c r="N16"/>
  <c r="O17"/>
  <c r="S37" i="4"/>
  <c r="Q40"/>
  <c r="S33"/>
  <c r="Q43"/>
  <c r="S29"/>
  <c r="Q41"/>
  <c r="P42"/>
  <c r="N41"/>
  <c r="L41"/>
  <c r="R38"/>
  <c r="P41"/>
  <c r="R32"/>
  <c r="R37"/>
  <c r="P40"/>
  <c r="N40"/>
  <c r="S38"/>
  <c r="S40"/>
  <c r="O19" i="35"/>
  <c r="N18"/>
  <c r="O13"/>
  <c r="N12"/>
  <c r="S36" i="4"/>
  <c r="O40"/>
  <c r="M43"/>
  <c r="O5" i="35"/>
  <c r="N4"/>
  <c r="L43" i="4"/>
  <c r="M40"/>
  <c r="S35"/>
  <c r="S34"/>
  <c r="M41"/>
  <c r="Q42"/>
  <c r="O43"/>
  <c r="R42"/>
  <c r="S32"/>
  <c r="O41"/>
  <c r="S42"/>
  <c r="P43"/>
  <c r="S31"/>
  <c r="R43"/>
  <c r="S43"/>
  <c r="H44" i="35"/>
  <c r="C54"/>
  <c r="H62"/>
  <c r="F6" i="20"/>
  <c r="J10"/>
  <c r="F14"/>
  <c r="N18"/>
  <c r="F22"/>
  <c r="J26"/>
  <c r="F30"/>
  <c r="B36"/>
  <c r="F38"/>
  <c r="B40"/>
  <c r="F10" i="15"/>
  <c r="C20"/>
  <c r="G8"/>
  <c r="G4"/>
  <c r="G10"/>
  <c r="H25"/>
  <c r="I8"/>
  <c r="H17"/>
  <c r="H10"/>
  <c r="H6"/>
  <c r="I4"/>
  <c r="H16"/>
  <c r="C16"/>
  <c r="F8"/>
  <c r="H4"/>
  <c r="C25"/>
  <c r="H20"/>
  <c r="I6"/>
  <c r="H24"/>
  <c r="C17"/>
  <c r="C24"/>
  <c r="H21"/>
  <c r="C21"/>
  <c r="F6"/>
  <c r="A6" i="4"/>
  <c r="B6"/>
  <c r="C6"/>
  <c r="D6"/>
  <c r="E6"/>
  <c r="F1"/>
  <c r="I7" i="15"/>
  <c r="H11"/>
  <c r="F7"/>
  <c r="G9"/>
  <c r="F11"/>
  <c r="G11"/>
  <c r="H5"/>
  <c r="F9"/>
  <c r="I9"/>
  <c r="H7"/>
  <c r="G5"/>
  <c r="I5"/>
  <c r="J10"/>
  <c r="K11"/>
  <c r="J8"/>
  <c r="K9"/>
  <c r="J4"/>
  <c r="K5"/>
  <c r="J6"/>
  <c r="K7"/>
  <c r="A5" i="4"/>
  <c r="B5"/>
  <c r="C5"/>
  <c r="D5"/>
  <c r="E5"/>
  <c r="E1"/>
  <c r="E2"/>
  <c r="E3"/>
  <c r="E4"/>
  <c r="A4"/>
  <c r="B4"/>
  <c r="C4"/>
  <c r="D4"/>
  <c r="D1"/>
  <c r="D2"/>
  <c r="D3"/>
  <c r="Z2"/>
  <c r="Z4"/>
  <c r="Z6"/>
  <c r="V6"/>
  <c r="X6"/>
  <c r="Z1"/>
  <c r="Z3"/>
  <c r="Z5"/>
  <c r="U6"/>
  <c r="W6"/>
  <c r="Y6"/>
  <c r="Y2"/>
  <c r="Y4"/>
  <c r="U5"/>
  <c r="W5"/>
  <c r="Y1"/>
  <c r="Y3"/>
  <c r="Y5"/>
  <c r="V5"/>
  <c r="X5"/>
  <c r="O3"/>
  <c r="O2"/>
  <c r="X3"/>
  <c r="X1"/>
  <c r="W4"/>
  <c r="U4"/>
  <c r="L6"/>
  <c r="N6"/>
  <c r="P6"/>
  <c r="Q1"/>
  <c r="Q3"/>
  <c r="Q5"/>
  <c r="M6"/>
  <c r="O6"/>
  <c r="Q6"/>
  <c r="Q2"/>
  <c r="Q4"/>
  <c r="L5"/>
  <c r="N5"/>
  <c r="P5"/>
  <c r="P2"/>
  <c r="P4"/>
  <c r="M5"/>
  <c r="O5"/>
  <c r="P1"/>
  <c r="P3"/>
  <c r="M4"/>
  <c r="L4"/>
  <c r="N4"/>
  <c r="O4"/>
  <c r="O1"/>
  <c r="X2"/>
  <c r="X4"/>
  <c r="V4"/>
  <c r="X13"/>
  <c r="Q13"/>
  <c r="Y19"/>
  <c r="L20"/>
  <c r="P12"/>
  <c r="Z16"/>
  <c r="Z19"/>
  <c r="Z17"/>
  <c r="Y21"/>
  <c r="U21"/>
  <c r="N18"/>
  <c r="X11"/>
  <c r="X18"/>
  <c r="Z18"/>
  <c r="V19"/>
  <c r="N17"/>
  <c r="V22"/>
  <c r="L18"/>
  <c r="Y12"/>
  <c r="X20"/>
  <c r="V17"/>
  <c r="P18"/>
  <c r="P22"/>
  <c r="O20"/>
  <c r="Q21"/>
  <c r="X22"/>
  <c r="Y17"/>
  <c r="O22"/>
  <c r="L22"/>
  <c r="Z11"/>
  <c r="M17"/>
  <c r="O13"/>
  <c r="Z12"/>
  <c r="N19"/>
  <c r="Q12"/>
  <c r="M22"/>
  <c r="O14"/>
  <c r="O21"/>
  <c r="P15"/>
  <c r="N20"/>
  <c r="N22"/>
  <c r="X19"/>
  <c r="Q18"/>
  <c r="Z14"/>
  <c r="Y20"/>
  <c r="Q22"/>
  <c r="O19"/>
  <c r="M19"/>
  <c r="U18"/>
  <c r="W21"/>
  <c r="O11"/>
  <c r="O17"/>
  <c r="V20"/>
  <c r="W17"/>
  <c r="V18"/>
  <c r="O12"/>
  <c r="Q20"/>
  <c r="Q11"/>
  <c r="W22"/>
  <c r="P13"/>
  <c r="N21"/>
  <c r="Q15"/>
  <c r="P14"/>
  <c r="V21"/>
  <c r="Z15"/>
  <c r="Y22"/>
  <c r="Y18"/>
  <c r="W19"/>
  <c r="P17"/>
  <c r="O16"/>
  <c r="Q14"/>
  <c r="P19"/>
  <c r="U20"/>
  <c r="L19"/>
  <c r="Y15"/>
  <c r="X17"/>
  <c r="Z20"/>
  <c r="Q16"/>
  <c r="U19"/>
  <c r="M20"/>
  <c r="Y13"/>
  <c r="W18"/>
  <c r="O18"/>
  <c r="L17"/>
  <c r="Z13"/>
  <c r="P11"/>
  <c r="X14"/>
  <c r="W20"/>
  <c r="P16"/>
  <c r="O15"/>
  <c r="Z21"/>
  <c r="Y14"/>
  <c r="U17"/>
  <c r="X21"/>
  <c r="M21"/>
  <c r="Z22"/>
  <c r="P20"/>
  <c r="Y16"/>
  <c r="M18"/>
  <c r="Q19"/>
  <c r="Y11"/>
  <c r="Q17"/>
  <c r="X12"/>
  <c r="U22"/>
  <c r="P21"/>
  <c r="L21"/>
  <c r="X15"/>
  <c r="X16"/>
  <c r="Q32"/>
  <c r="P32"/>
  <c r="O37"/>
  <c r="P34"/>
  <c r="Q34"/>
  <c r="P39"/>
  <c r="L34"/>
  <c r="P37"/>
  <c r="Q38"/>
  <c r="Q29"/>
  <c r="O34"/>
  <c r="O33"/>
  <c r="Q35"/>
  <c r="O39"/>
  <c r="N35"/>
  <c r="N34"/>
  <c r="L35"/>
  <c r="M39"/>
  <c r="Q37"/>
  <c r="P30"/>
  <c r="L38"/>
  <c r="Q36"/>
  <c r="N36"/>
  <c r="Q33"/>
  <c r="O31"/>
  <c r="O35"/>
  <c r="O38"/>
  <c r="P31"/>
  <c r="P33"/>
  <c r="L36"/>
  <c r="P29"/>
  <c r="Q31"/>
  <c r="M36"/>
  <c r="O30"/>
  <c r="L37"/>
  <c r="N38"/>
  <c r="N39"/>
  <c r="M37"/>
  <c r="P36"/>
  <c r="M34"/>
  <c r="L39"/>
  <c r="P35"/>
  <c r="Q30"/>
  <c r="M35"/>
  <c r="N37"/>
  <c r="O36"/>
  <c r="O29"/>
  <c r="O32"/>
  <c r="P38"/>
  <c r="Q39"/>
  <c r="M38"/>
  <c r="O28"/>
  <c r="P28"/>
  <c r="Q28"/>
  <c r="A2"/>
  <c r="L2"/>
  <c r="B2"/>
  <c r="M2"/>
  <c r="C2"/>
  <c r="N2"/>
  <c r="A3"/>
  <c r="L3"/>
  <c r="B3"/>
  <c r="M3"/>
  <c r="C3"/>
  <c r="N3"/>
  <c r="C1"/>
  <c r="W1"/>
  <c r="A1"/>
  <c r="B1"/>
  <c r="M1"/>
  <c r="W12"/>
  <c r="M14"/>
  <c r="N15"/>
  <c r="N13"/>
  <c r="W11"/>
  <c r="M12"/>
  <c r="M15"/>
  <c r="M11"/>
  <c r="N14"/>
  <c r="M13"/>
  <c r="N16"/>
  <c r="M16"/>
  <c r="V2"/>
  <c r="L1"/>
  <c r="N1"/>
  <c r="U1"/>
  <c r="V1"/>
  <c r="V3"/>
  <c r="W2"/>
  <c r="U2"/>
  <c r="W3"/>
  <c r="U3"/>
  <c r="U15"/>
  <c r="V14"/>
  <c r="W15"/>
  <c r="L16"/>
  <c r="V13"/>
  <c r="U13"/>
  <c r="L14"/>
  <c r="V15"/>
  <c r="N11"/>
  <c r="V16"/>
  <c r="U11"/>
  <c r="U12"/>
  <c r="L15"/>
  <c r="U16"/>
  <c r="V12"/>
  <c r="W13"/>
  <c r="L12"/>
  <c r="L13"/>
  <c r="W14"/>
  <c r="U14"/>
  <c r="W16"/>
  <c r="V11"/>
  <c r="N12"/>
  <c r="L11"/>
  <c r="M32"/>
  <c r="M29"/>
  <c r="L33"/>
  <c r="L32"/>
  <c r="M31"/>
  <c r="N29"/>
  <c r="N30"/>
  <c r="L31"/>
  <c r="L30"/>
  <c r="M30"/>
  <c r="M33"/>
  <c r="N31"/>
  <c r="L29"/>
  <c r="N33"/>
  <c r="N32"/>
  <c r="M28"/>
  <c r="N28"/>
  <c r="L28"/>
</calcChain>
</file>

<file path=xl/sharedStrings.xml><?xml version="1.0" encoding="utf-8"?>
<sst xmlns="http://schemas.openxmlformats.org/spreadsheetml/2006/main" count="478" uniqueCount="139">
  <si>
    <t>Команда</t>
  </si>
  <si>
    <t>победы</t>
  </si>
  <si>
    <t>место</t>
  </si>
  <si>
    <t>доп</t>
  </si>
  <si>
    <t>Тур 1</t>
  </si>
  <si>
    <t>Тур 2</t>
  </si>
  <si>
    <t>Тур 3</t>
  </si>
  <si>
    <t/>
  </si>
  <si>
    <t>Тур 4</t>
  </si>
  <si>
    <t>Тур 5</t>
  </si>
  <si>
    <t>ДВССЫЛ(АДРЕС(ПОИСКПОЗ(A5,СМЕЩ(ДВССЫЛ(АДРЕС(3,2,,,A4)),1,6+МАКС(СМЕЩ(ДВССЫЛ(АДРЕС(3,2,,,A4)),0,0,1,20)),2*МАКС(СМЕЩ(ДВССЫЛ(АДРЕС(3,2,,,A4)),0,0,1,20)),1),0)+3,3,,,A4))</t>
  </si>
  <si>
    <t>дор.</t>
  </si>
  <si>
    <t>Тур 6</t>
  </si>
  <si>
    <t>Тур 7</t>
  </si>
  <si>
    <t>Лукин</t>
  </si>
  <si>
    <t>Пасечникова</t>
  </si>
  <si>
    <t>Татьянц</t>
  </si>
  <si>
    <t>Данилов</t>
  </si>
  <si>
    <t>Мутовина</t>
  </si>
  <si>
    <t>Франк</t>
  </si>
  <si>
    <t>Попов Д.</t>
  </si>
  <si>
    <t>Харьковский</t>
  </si>
  <si>
    <t>Попов М.</t>
  </si>
  <si>
    <t>Оноприенко</t>
  </si>
  <si>
    <t>Попов А.</t>
  </si>
  <si>
    <t>Майсов</t>
  </si>
  <si>
    <t>Накахидзе</t>
  </si>
  <si>
    <t>Кананыхин</t>
  </si>
  <si>
    <t xml:space="preserve">Карасёв </t>
  </si>
  <si>
    <t>Петраков</t>
  </si>
  <si>
    <t>Лукин Сергей</t>
  </si>
  <si>
    <t>Мороз Алексей</t>
  </si>
  <si>
    <t>Майсов Антон</t>
  </si>
  <si>
    <t>Данилов Максим</t>
  </si>
  <si>
    <t>Сурнин Константин</t>
  </si>
  <si>
    <t>Базарев Дмитрий</t>
  </si>
  <si>
    <t>Андреев Андрей</t>
  </si>
  <si>
    <t>Плаксин Алексей</t>
  </si>
  <si>
    <t>Открытый региональный турнир "Московский шар" (петанк, мужчины),                                                     г.Москва, 9 августа 2025г.</t>
  </si>
  <si>
    <t>Открытый региональный турнир "Московский шар" (петанк, женщины),                                                     г.Москва, 9 августа 2025г. Группа А.</t>
  </si>
  <si>
    <t>Открытый региональный турнир "Московский шар" (петанк, женщины),                                                     г.Москва, 9 августа 2025г. Группа В.</t>
  </si>
  <si>
    <t>Лукина Лариса</t>
  </si>
  <si>
    <t>Королькова Екатерина</t>
  </si>
  <si>
    <t>Турбаевская Оксана</t>
  </si>
  <si>
    <t>Минаева Екатерина</t>
  </si>
  <si>
    <t>Тихомирова Елена</t>
  </si>
  <si>
    <t>Пасечникова Светлана</t>
  </si>
  <si>
    <t>Семченкова Марина</t>
  </si>
  <si>
    <t>Румянцева Наталья</t>
  </si>
  <si>
    <t>Захарова Екатерина</t>
  </si>
  <si>
    <t>Фёдорова Юлия</t>
  </si>
  <si>
    <t>Мутовина Екатерина</t>
  </si>
  <si>
    <t>Молчанова Анастасия</t>
  </si>
  <si>
    <t>Открытый региональный турнир "Московский шар" (петанк, женщины),                                                     г.Москва, 9 августа 2025г. Кубок А.</t>
  </si>
  <si>
    <t>Федорова</t>
  </si>
  <si>
    <t>Лукина</t>
  </si>
  <si>
    <t>Румянцева</t>
  </si>
  <si>
    <t>Королькова</t>
  </si>
  <si>
    <t>Открытый региональный турнир "Московский шар" (петанк, женщины),                                                     г.Москва, 9 августа 2025г. Кубок В.</t>
  </si>
  <si>
    <t>Минаева</t>
  </si>
  <si>
    <t>Захарова</t>
  </si>
  <si>
    <t>Турбаевская</t>
  </si>
  <si>
    <t>Семченкова</t>
  </si>
  <si>
    <t>Открытый региональный турнир "Московский шар" (петанк, женщины),                                                     г.Москва, 9 августа 2025г. Кубок С.</t>
  </si>
  <si>
    <t>Тихомирова</t>
  </si>
  <si>
    <t>Молчанова</t>
  </si>
  <si>
    <t>Кубок ВФБ (петанк-двойка-смешанная),                                                                        г.Москва, 10 августа 2025г. Группа А.</t>
  </si>
  <si>
    <t>Кубок ВФБ (петанк-двойка-смешанная),                                                                        г.Москва, 10 августа 2025г. Группа В.</t>
  </si>
  <si>
    <t>Кубок ВФБ (петанк-двойка-смешанная),                                                                        г.Москва, 10 августа 2025г. Группа С.</t>
  </si>
  <si>
    <t>Кубок ВФБ (петанк-двойка-смешанная),                                                                        г.Москва, 10 августа 2025г. Группа D.</t>
  </si>
  <si>
    <t>Попов М., Попова В.</t>
  </si>
  <si>
    <t>Харьковский, Лукина И.</t>
  </si>
  <si>
    <t>Лукин, Лукина Л.</t>
  </si>
  <si>
    <t>Татьянц, Мыльцева</t>
  </si>
  <si>
    <t>Кананыхин В., Кананыхина С.</t>
  </si>
  <si>
    <t>Франк Нк., Франк Нд.</t>
  </si>
  <si>
    <t>Попов А., Попова К.</t>
  </si>
  <si>
    <t>Майсов, Семченкова</t>
  </si>
  <si>
    <t>Данилов, Фёдорова</t>
  </si>
  <si>
    <t>Накахидзе, Власенко</t>
  </si>
  <si>
    <t>Мутовина, Тихомирова</t>
  </si>
  <si>
    <t>Карасёв, Симутина</t>
  </si>
  <si>
    <t>Попов Д., Ерасова</t>
  </si>
  <si>
    <t>Оноприенко, Панкова</t>
  </si>
  <si>
    <t>Пасечникова, Турбаевская</t>
  </si>
  <si>
    <t>Кубок ВФБ (петанк-двойка-смешанная),                                                                                                    г.Москва, 10 августа 2025г. Кубок А.</t>
  </si>
  <si>
    <t>Кубок ВФБ (петанк-двойка-смешанная),                                                                                                    г.Москва, 10 августа 2025г. Кубок В.</t>
  </si>
  <si>
    <t>Кубок ВФБ (петанк-двойка-смешанная),                                                                                                    г.Москва, 10 августа 2025г. Кубок С.</t>
  </si>
  <si>
    <t>Кубок ВФБ (петанк-двойка-смешанная),                                                                                                    г.Москва, 10 августа 2025г. Кубок D.</t>
  </si>
  <si>
    <t>Карасёв</t>
  </si>
  <si>
    <t>РФСОО "Всероссийская федерация боулспорта"</t>
  </si>
  <si>
    <t>Место</t>
  </si>
  <si>
    <t>ФИО</t>
  </si>
  <si>
    <t>Регион</t>
  </si>
  <si>
    <t>Очки Гран-При России по петанку</t>
  </si>
  <si>
    <t>Татьянц Дмитрий</t>
  </si>
  <si>
    <t>Краснодарский край</t>
  </si>
  <si>
    <t>Попов Михаил</t>
  </si>
  <si>
    <t>Москва</t>
  </si>
  <si>
    <t>Главный судья          ____________ С.В.Капран-Индаяти</t>
  </si>
  <si>
    <t>Симутина Юлия</t>
  </si>
  <si>
    <t>ИТОГОВЫЙ ПРОТОКОЛ                                                                       Открытый региональный турнир         "Московский шар" (петанк, мужчины),            г.Москва, 9 августа 2025 года</t>
  </si>
  <si>
    <t>7</t>
  </si>
  <si>
    <t>8</t>
  </si>
  <si>
    <t>Ульяновская область</t>
  </si>
  <si>
    <t>ИТОГОВЫЙ ПРОТОКОЛ                                                                       Открытый региональный турнир         "Московский шар" (петанк, женщины),            г.Москва, 9 августа 2025 года</t>
  </si>
  <si>
    <t>Санкт-Петербург</t>
  </si>
  <si>
    <t>Федорова Юлия</t>
  </si>
  <si>
    <t>Мутовина Ирина</t>
  </si>
  <si>
    <t>ИТОГОВЫЙ ПРОТОКОЛ                                                                       Кубок ВФБ по боулспорту                                                (петанк-двойка-смешанная),                                                г.Москва, 10 августа 2025 года</t>
  </si>
  <si>
    <t>Попов Дмитрий</t>
  </si>
  <si>
    <t>Ерасова Екатерина</t>
  </si>
  <si>
    <t>Франк Николай</t>
  </si>
  <si>
    <t>Франк Надежда</t>
  </si>
  <si>
    <t>Лукина Ирина</t>
  </si>
  <si>
    <t>Мыльцева Ольга</t>
  </si>
  <si>
    <t>Петраков Игорь</t>
  </si>
  <si>
    <t>Кананыхин Владислав</t>
  </si>
  <si>
    <t>Кананыхина Светлана</t>
  </si>
  <si>
    <t>Попова Виктория (ю)</t>
  </si>
  <si>
    <t>Карасёв Виталий</t>
  </si>
  <si>
    <t>Попов Андрей (ю)</t>
  </si>
  <si>
    <t>Попова Ксения (ю)</t>
  </si>
  <si>
    <t>Харьковский Андрей (ю)</t>
  </si>
  <si>
    <t>Петракова Тамара</t>
  </si>
  <si>
    <t>Панкова Наталья</t>
  </si>
  <si>
    <t>Оноприенко Сергей</t>
  </si>
  <si>
    <t>Власенко Виктор</t>
  </si>
  <si>
    <t>Накахидзе Екатерина</t>
  </si>
  <si>
    <t>Петраков, Петракова</t>
  </si>
  <si>
    <t>Главный секретарь  _____________ Ю.В.Симутина</t>
  </si>
  <si>
    <t>дор.1</t>
  </si>
  <si>
    <t>дор.2</t>
  </si>
  <si>
    <t>дор.3</t>
  </si>
  <si>
    <t>дор.4</t>
  </si>
  <si>
    <t>дор.5</t>
  </si>
  <si>
    <t>дор.6</t>
  </si>
  <si>
    <t>дор.7</t>
  </si>
  <si>
    <t>дор.8</t>
  </si>
</sst>
</file>

<file path=xl/styles.xml><?xml version="1.0" encoding="utf-8"?>
<styleSheet xmlns="http://schemas.openxmlformats.org/spreadsheetml/2006/main">
  <numFmts count="2">
    <numFmt numFmtId="164" formatCode="\+##;\-##"/>
    <numFmt numFmtId="165" formatCode="\+##;\-##;0"/>
  </numFmts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8"/>
      <color indexed="8"/>
      <name val="Cambria"/>
      <family val="1"/>
      <charset val="204"/>
    </font>
    <font>
      <sz val="16"/>
      <color indexed="22"/>
      <name val="Calibri"/>
      <family val="2"/>
      <charset val="204"/>
    </font>
    <font>
      <sz val="8"/>
      <name val="Calibri"/>
      <family val="2"/>
      <charset val="204"/>
    </font>
    <font>
      <b/>
      <sz val="16"/>
      <color indexed="8"/>
      <name val="Cambria"/>
      <family val="1"/>
      <charset val="204"/>
    </font>
    <font>
      <b/>
      <sz val="20"/>
      <color indexed="8"/>
      <name val="Cambria"/>
      <family val="1"/>
      <charset val="204"/>
    </font>
    <font>
      <b/>
      <sz val="22"/>
      <color indexed="8"/>
      <name val="Cambria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0" xfId="0" applyFill="1"/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5" fontId="3" fillId="0" borderId="26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164" fontId="3" fillId="2" borderId="26" xfId="0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164" fontId="3" fillId="0" borderId="2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165" fontId="3" fillId="0" borderId="29" xfId="0" applyNumberFormat="1" applyFont="1" applyBorder="1" applyAlignment="1">
      <alignment horizontal="center" vertical="center"/>
    </xf>
    <xf numFmtId="165" fontId="3" fillId="0" borderId="30" xfId="0" applyNumberFormat="1" applyFont="1" applyBorder="1" applyAlignment="1">
      <alignment horizontal="center" vertical="center"/>
    </xf>
    <xf numFmtId="164" fontId="3" fillId="0" borderId="31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164" fontId="3" fillId="0" borderId="26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164" fontId="3" fillId="2" borderId="31" xfId="0" applyNumberFormat="1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64" fontId="3" fillId="0" borderId="3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right" indent="1"/>
    </xf>
    <xf numFmtId="0" fontId="3" fillId="0" borderId="0" xfId="0" applyFont="1" applyAlignme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/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6" xfId="0" applyBorder="1"/>
    <xf numFmtId="0" fontId="0" fillId="0" borderId="26" xfId="0" applyBorder="1"/>
    <xf numFmtId="0" fontId="0" fillId="0" borderId="34" xfId="0" applyBorder="1" applyAlignment="1">
      <alignment horizontal="center"/>
    </xf>
    <xf numFmtId="0" fontId="0" fillId="0" borderId="0" xfId="0" applyBorder="1"/>
    <xf numFmtId="0" fontId="14" fillId="0" borderId="0" xfId="0" applyFont="1" applyBorder="1"/>
    <xf numFmtId="0" fontId="2" fillId="0" borderId="12" xfId="0" applyFont="1" applyBorder="1" applyAlignment="1">
      <alignment horizontal="center"/>
    </xf>
    <xf numFmtId="0" fontId="0" fillId="0" borderId="11" xfId="0" applyBorder="1"/>
    <xf numFmtId="0" fontId="0" fillId="0" borderId="28" xfId="0" applyBorder="1"/>
    <xf numFmtId="0" fontId="0" fillId="0" borderId="35" xfId="0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1" fillId="0" borderId="0" xfId="0" applyFont="1" applyBorder="1"/>
    <xf numFmtId="0" fontId="1" fillId="0" borderId="6" xfId="0" applyFont="1" applyBorder="1"/>
    <xf numFmtId="49" fontId="2" fillId="0" borderId="9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0" fontId="0" fillId="0" borderId="10" xfId="0" applyBorder="1"/>
    <xf numFmtId="0" fontId="0" fillId="0" borderId="36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50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 wrapText="1" indent="1"/>
    </xf>
    <xf numFmtId="0" fontId="4" fillId="0" borderId="43" xfId="0" applyFont="1" applyFill="1" applyBorder="1" applyAlignment="1">
      <alignment horizontal="left" vertical="center" wrapText="1" indent="1"/>
    </xf>
    <xf numFmtId="0" fontId="4" fillId="0" borderId="44" xfId="0" applyFont="1" applyFill="1" applyBorder="1" applyAlignment="1">
      <alignment horizontal="left" vertical="center" wrapText="1" indent="1"/>
    </xf>
    <xf numFmtId="0" fontId="4" fillId="0" borderId="28" xfId="0" applyFont="1" applyFill="1" applyBorder="1" applyAlignment="1">
      <alignment horizontal="left" vertical="center" wrapText="1" indent="1"/>
    </xf>
    <xf numFmtId="0" fontId="4" fillId="0" borderId="52" xfId="0" applyFont="1" applyFill="1" applyBorder="1" applyAlignment="1">
      <alignment horizontal="left" vertical="center" wrapText="1" indent="1"/>
    </xf>
    <xf numFmtId="0" fontId="4" fillId="0" borderId="36" xfId="0" applyFont="1" applyFill="1" applyBorder="1" applyAlignment="1">
      <alignment horizontal="left" vertical="center" wrapText="1" indent="1"/>
    </xf>
    <xf numFmtId="0" fontId="4" fillId="0" borderId="2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 wrapText="1" indent="1"/>
    </xf>
    <xf numFmtId="0" fontId="4" fillId="0" borderId="18" xfId="0" applyFont="1" applyFill="1" applyBorder="1" applyAlignment="1">
      <alignment horizontal="left" vertical="center" wrapText="1" indent="1"/>
    </xf>
    <xf numFmtId="0" fontId="4" fillId="0" borderId="37" xfId="0" applyFont="1" applyFill="1" applyBorder="1" applyAlignment="1">
      <alignment horizontal="left" vertical="center" wrapText="1" indent="1"/>
    </xf>
    <xf numFmtId="0" fontId="4" fillId="0" borderId="31" xfId="0" applyFont="1" applyFill="1" applyBorder="1" applyAlignment="1">
      <alignment horizontal="left" vertical="center" wrapText="1" indent="1"/>
    </xf>
    <xf numFmtId="0" fontId="4" fillId="0" borderId="46" xfId="0" applyFont="1" applyFill="1" applyBorder="1" applyAlignment="1">
      <alignment horizontal="left" vertical="center" wrapText="1" indent="1"/>
    </xf>
    <xf numFmtId="0" fontId="4" fillId="0" borderId="47" xfId="0" applyFont="1" applyFill="1" applyBorder="1" applyAlignment="1">
      <alignment horizontal="left" vertical="center" wrapText="1" indent="1"/>
    </xf>
    <xf numFmtId="0" fontId="4" fillId="0" borderId="2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25" xfId="0" applyFont="1" applyFill="1" applyBorder="1" applyAlignment="1">
      <alignment horizontal="left" vertical="center" wrapText="1" indent="1"/>
    </xf>
    <xf numFmtId="0" fontId="4" fillId="0" borderId="41" xfId="0" applyFont="1" applyFill="1" applyBorder="1" applyAlignment="1">
      <alignment horizontal="left" vertical="center" wrapText="1" indent="1"/>
    </xf>
    <xf numFmtId="0" fontId="4" fillId="0" borderId="42" xfId="0" applyFont="1" applyFill="1" applyBorder="1" applyAlignment="1">
      <alignment horizontal="left" vertical="center" wrapText="1" indent="1"/>
    </xf>
    <xf numFmtId="0" fontId="4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7" fillId="0" borderId="27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left" vertical="center" wrapText="1" indent="1"/>
    </xf>
    <xf numFmtId="0" fontId="3" fillId="0" borderId="43" xfId="0" applyFont="1" applyFill="1" applyBorder="1" applyAlignment="1">
      <alignment horizontal="left" vertical="center" wrapText="1" indent="1"/>
    </xf>
    <xf numFmtId="0" fontId="3" fillId="0" borderId="44" xfId="0" applyFont="1" applyFill="1" applyBorder="1" applyAlignment="1">
      <alignment horizontal="left" vertical="center" wrapText="1" indent="1"/>
    </xf>
    <xf numFmtId="0" fontId="3" fillId="0" borderId="28" xfId="0" applyFont="1" applyFill="1" applyBorder="1" applyAlignment="1">
      <alignment horizontal="left" vertical="center" wrapText="1" indent="1"/>
    </xf>
    <xf numFmtId="0" fontId="3" fillId="0" borderId="52" xfId="0" applyFont="1" applyFill="1" applyBorder="1" applyAlignment="1">
      <alignment horizontal="left" vertical="center" wrapText="1" indent="1"/>
    </xf>
    <xf numFmtId="0" fontId="3" fillId="0" borderId="36" xfId="0" applyFont="1" applyFill="1" applyBorder="1" applyAlignment="1">
      <alignment horizontal="left" vertical="center" wrapText="1" indent="1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5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9"/>
  <sheetViews>
    <sheetView workbookViewId="0">
      <selection activeCell="L68" sqref="L68"/>
    </sheetView>
  </sheetViews>
  <sheetFormatPr defaultRowHeight="15"/>
  <cols>
    <col min="1" max="1" width="4" style="30" customWidth="1"/>
    <col min="2" max="4" width="10.28515625" customWidth="1"/>
    <col min="5" max="5" width="11" customWidth="1"/>
    <col min="6" max="12" width="10.28515625" customWidth="1"/>
    <col min="13" max="13" width="10.28515625" style="38" customWidth="1"/>
    <col min="14" max="15" width="10.28515625" customWidth="1"/>
  </cols>
  <sheetData>
    <row r="1" spans="2:16" customFormat="1" ht="59.25" customHeight="1">
      <c r="B1" s="130" t="s">
        <v>38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2:16" customFormat="1" ht="15.75" thickBot="1"/>
    <row r="3" spans="2:16" customFormat="1" ht="30" customHeight="1" thickBot="1">
      <c r="B3" s="25"/>
      <c r="C3" s="132" t="s">
        <v>0</v>
      </c>
      <c r="D3" s="133"/>
      <c r="E3" s="134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2">
        <v>7</v>
      </c>
      <c r="M3" s="4">
        <v>8</v>
      </c>
      <c r="N3" s="3" t="s">
        <v>1</v>
      </c>
      <c r="O3" s="1" t="s">
        <v>3</v>
      </c>
      <c r="P3" s="4" t="s">
        <v>2</v>
      </c>
    </row>
    <row r="4" spans="2:16" customFormat="1" ht="24" customHeight="1">
      <c r="B4" s="135">
        <v>1</v>
      </c>
      <c r="C4" s="136" t="s">
        <v>30</v>
      </c>
      <c r="D4" s="137"/>
      <c r="E4" s="138"/>
      <c r="F4" s="10"/>
      <c r="G4" s="6" t="str">
        <f ca="1">INDIRECT(ADDRESS(33,6))&amp;":"&amp;INDIRECT(ADDRESS(33,7))</f>
        <v>13:4</v>
      </c>
      <c r="H4" s="6" t="str">
        <f ca="1">INDIRECT(ADDRESS(37,7))&amp;":"&amp;INDIRECT(ADDRESS(37,6))</f>
        <v>13:9</v>
      </c>
      <c r="I4" s="6" t="str">
        <f ca="1">INDIRECT(ADDRESS(44,6))&amp;":"&amp;INDIRECT(ADDRESS(44,7))</f>
        <v>13:11</v>
      </c>
      <c r="J4" s="6" t="str">
        <f ca="1">INDIRECT(ADDRESS(50,7))&amp;":"&amp;INDIRECT(ADDRESS(50,6))</f>
        <v>13:5</v>
      </c>
      <c r="K4" s="44" t="str">
        <f ca="1">INDIRECT(ADDRESS(55,6))&amp;":"&amp;INDIRECT(ADDRESS(55,7))</f>
        <v>10:13</v>
      </c>
      <c r="L4" s="44" t="str">
        <f ca="1">INDIRECT(ADDRESS(63,7))&amp;":"&amp;INDIRECT(ADDRESS(63,6))</f>
        <v>13:11</v>
      </c>
      <c r="M4" s="60" t="str">
        <f ca="1">INDIRECT(ADDRESS(24,6))&amp;":"&amp;INDIRECT(ADDRESS(24,7))</f>
        <v>13:3</v>
      </c>
      <c r="N4" s="139">
        <f ca="1">IF(COUNT(F5:M5)=0,"",COUNTIF(F5:M5,"&gt;0")+0.5*COUNTIF(F5:M5,0))</f>
        <v>6</v>
      </c>
      <c r="O4" s="24"/>
      <c r="P4" s="131">
        <v>2</v>
      </c>
    </row>
    <row r="5" spans="2:16" customFormat="1" ht="24" customHeight="1">
      <c r="B5" s="129"/>
      <c r="C5" s="113"/>
      <c r="D5" s="114"/>
      <c r="E5" s="115"/>
      <c r="F5" s="14"/>
      <c r="G5" s="17">
        <f ca="1">IF(LEN(INDIRECT(ADDRESS(ROW()-1, COLUMN())))=1,"",INDIRECT(ADDRESS(33,6))-INDIRECT(ADDRESS(33,7)))</f>
        <v>9</v>
      </c>
      <c r="H5" s="17">
        <f ca="1">IF(LEN(INDIRECT(ADDRESS(ROW()-1, COLUMN())))=1,"",INDIRECT(ADDRESS(37,7))-INDIRECT(ADDRESS(37,6)))</f>
        <v>4</v>
      </c>
      <c r="I5" s="17">
        <f ca="1">IF(LEN(INDIRECT(ADDRESS(ROW()-1, COLUMN())))=1,"",INDIRECT(ADDRESS(44,6))-INDIRECT(ADDRESS(44,7)))</f>
        <v>2</v>
      </c>
      <c r="J5" s="17">
        <f ca="1">IF(LEN(INDIRECT(ADDRESS(ROW()-1, COLUMN())))=1,"",INDIRECT(ADDRESS(50,7))-INDIRECT(ADDRESS(50,6)))</f>
        <v>8</v>
      </c>
      <c r="K5" s="45">
        <f ca="1">IF(LEN(INDIRECT(ADDRESS(ROW()-1, COLUMN())))=1,"",INDIRECT(ADDRESS(55,6))-INDIRECT(ADDRESS(55,7)))</f>
        <v>-3</v>
      </c>
      <c r="L5" s="45">
        <f ca="1">IF(LEN(INDIRECT(ADDRESS(ROW()-1, COLUMN())))=1,"",INDIRECT(ADDRESS(63,7))-INDIRECT(ADDRESS(63,6)))</f>
        <v>2</v>
      </c>
      <c r="M5" s="18">
        <f ca="1">IF(LEN(INDIRECT(ADDRESS(ROW()-1, COLUMN())))=1,"",INDIRECT(ADDRESS(24,6))-INDIRECT(ADDRESS(24,7)))</f>
        <v>10</v>
      </c>
      <c r="N5" s="107"/>
      <c r="O5" s="17">
        <f ca="1">IF(COUNT(F5:M5)=0,"",SUM(F5:M5))</f>
        <v>32</v>
      </c>
      <c r="P5" s="119"/>
    </row>
    <row r="6" spans="2:16" customFormat="1" ht="24" customHeight="1">
      <c r="B6" s="111">
        <v>2</v>
      </c>
      <c r="C6" s="113" t="s">
        <v>31</v>
      </c>
      <c r="D6" s="114"/>
      <c r="E6" s="115"/>
      <c r="F6" s="12" t="str">
        <f ca="1">INDIRECT(ADDRESS(33,7))&amp;":"&amp;INDIRECT(ADDRESS(33,6))</f>
        <v>4:13</v>
      </c>
      <c r="G6" s="8"/>
      <c r="H6" s="7" t="str">
        <f ca="1">INDIRECT(ADDRESS(45,6))&amp;":"&amp;INDIRECT(ADDRESS(45,7))</f>
        <v>13:6</v>
      </c>
      <c r="I6" s="7" t="str">
        <f ca="1">INDIRECT(ADDRESS(49,7))&amp;":"&amp;INDIRECT(ADDRESS(49,6))</f>
        <v>7:13</v>
      </c>
      <c r="J6" s="7" t="str">
        <f ca="1">INDIRECT(ADDRESS(56,6))&amp;":"&amp;INDIRECT(ADDRESS(56,7))</f>
        <v>7:13</v>
      </c>
      <c r="K6" s="46" t="str">
        <f ca="1">INDIRECT(ADDRESS(62,7))&amp;":"&amp;INDIRECT(ADDRESS(62,6))</f>
        <v>7:13</v>
      </c>
      <c r="L6" s="46" t="str">
        <f ca="1">INDIRECT(ADDRESS(25,6))&amp;":"&amp;INDIRECT(ADDRESS(25,7))</f>
        <v>11:7</v>
      </c>
      <c r="M6" s="11" t="str">
        <f ca="1">INDIRECT(ADDRESS(36,6))&amp;":"&amp;INDIRECT(ADDRESS(36,7))</f>
        <v>3:9</v>
      </c>
      <c r="N6" s="107">
        <f ca="1">IF(COUNT(F7:M7)=0,"",COUNTIF(F7:M7,"&gt;0")+0.5*COUNTIF(F7:M7,0))</f>
        <v>2</v>
      </c>
      <c r="O6" s="17"/>
      <c r="P6" s="109">
        <v>6</v>
      </c>
    </row>
    <row r="7" spans="2:16" customFormat="1" ht="24" customHeight="1">
      <c r="B7" s="129"/>
      <c r="C7" s="113"/>
      <c r="D7" s="114"/>
      <c r="E7" s="115"/>
      <c r="F7" s="23">
        <f ca="1">IF(LEN(INDIRECT(ADDRESS(ROW()-1, COLUMN())))=1,"",INDIRECT(ADDRESS(33,7))-INDIRECT(ADDRESS(33,6)))</f>
        <v>-9</v>
      </c>
      <c r="G7" s="15"/>
      <c r="H7" s="17">
        <f ca="1">IF(LEN(INDIRECT(ADDRESS(ROW()-1, COLUMN())))=1,"",INDIRECT(ADDRESS(45,6))-INDIRECT(ADDRESS(45,7)))</f>
        <v>7</v>
      </c>
      <c r="I7" s="17">
        <f ca="1">IF(LEN(INDIRECT(ADDRESS(ROW()-1, COLUMN())))=1,"",INDIRECT(ADDRESS(49,7))-INDIRECT(ADDRESS(49,6)))</f>
        <v>-6</v>
      </c>
      <c r="J7" s="17">
        <f ca="1">IF(LEN(INDIRECT(ADDRESS(ROW()-1, COLUMN())))=1,"",INDIRECT(ADDRESS(56,6))-INDIRECT(ADDRESS(56,7)))</f>
        <v>-6</v>
      </c>
      <c r="K7" s="45">
        <f ca="1">IF(LEN(INDIRECT(ADDRESS(ROW()-1, COLUMN())))=1,"",INDIRECT(ADDRESS(62,7))-INDIRECT(ADDRESS(62,6)))</f>
        <v>-6</v>
      </c>
      <c r="L7" s="45">
        <f ca="1">IF(LEN(INDIRECT(ADDRESS(ROW()-1, COLUMN())))=1,"",INDIRECT(ADDRESS(25,6))-INDIRECT(ADDRESS(25,7)))</f>
        <v>4</v>
      </c>
      <c r="M7" s="18">
        <f ca="1">IF(LEN(INDIRECT(ADDRESS(ROW()-1, COLUMN())))=1,"",INDIRECT(ADDRESS(36,6))-INDIRECT(ADDRESS(36,7)))</f>
        <v>-6</v>
      </c>
      <c r="N7" s="107"/>
      <c r="O7" s="17">
        <f ca="1">IF(COUNT(F7:M7)=0,"",SUM(F7:M7))</f>
        <v>-22</v>
      </c>
      <c r="P7" s="119"/>
    </row>
    <row r="8" spans="2:16" customFormat="1" ht="24" customHeight="1">
      <c r="B8" s="111">
        <v>3</v>
      </c>
      <c r="C8" s="113" t="s">
        <v>32</v>
      </c>
      <c r="D8" s="114"/>
      <c r="E8" s="115"/>
      <c r="F8" s="12" t="str">
        <f ca="1">INDIRECT(ADDRESS(37,6))&amp;":"&amp;INDIRECT(ADDRESS(37,7))</f>
        <v>9:13</v>
      </c>
      <c r="G8" s="7" t="str">
        <f ca="1">INDIRECT(ADDRESS(45,7))&amp;":"&amp;INDIRECT(ADDRESS(45,6))</f>
        <v>6:13</v>
      </c>
      <c r="H8" s="8"/>
      <c r="I8" s="7" t="str">
        <f ca="1">INDIRECT(ADDRESS(57,6))&amp;":"&amp;INDIRECT(ADDRESS(57,7))</f>
        <v>13:4</v>
      </c>
      <c r="J8" s="7" t="str">
        <f ca="1">INDIRECT(ADDRESS(61,7))&amp;":"&amp;INDIRECT(ADDRESS(61,6))</f>
        <v>6:11</v>
      </c>
      <c r="K8" s="46" t="str">
        <f ca="1">INDIRECT(ADDRESS(26,6))&amp;":"&amp;INDIRECT(ADDRESS(26,7))</f>
        <v>10:13</v>
      </c>
      <c r="L8" s="46" t="str">
        <f ca="1">INDIRECT(ADDRESS(32,7))&amp;":"&amp;INDIRECT(ADDRESS(32,6))</f>
        <v>3:13</v>
      </c>
      <c r="M8" s="11" t="str">
        <f ca="1">INDIRECT(ADDRESS(48,6))&amp;":"&amp;INDIRECT(ADDRESS(48,7))</f>
        <v>13:7</v>
      </c>
      <c r="N8" s="107">
        <f ca="1">IF(COUNT(F9:M9)=0,"",COUNTIF(F9:M9,"&gt;0")+0.5*COUNTIF(F9:M9,0))</f>
        <v>2</v>
      </c>
      <c r="O8" s="17"/>
      <c r="P8" s="109">
        <v>8</v>
      </c>
    </row>
    <row r="9" spans="2:16" customFormat="1" ht="24" customHeight="1">
      <c r="B9" s="129"/>
      <c r="C9" s="113"/>
      <c r="D9" s="114"/>
      <c r="E9" s="115"/>
      <c r="F9" s="23">
        <f ca="1">IF(LEN(INDIRECT(ADDRESS(ROW()-1, COLUMN())))=1,"",INDIRECT(ADDRESS(37,6))-INDIRECT(ADDRESS(37,7)))</f>
        <v>-4</v>
      </c>
      <c r="G9" s="17">
        <f ca="1">IF(LEN(INDIRECT(ADDRESS(ROW()-1, COLUMN())))=1,"",INDIRECT(ADDRESS(45,7))-INDIRECT(ADDRESS(45,6)))</f>
        <v>-7</v>
      </c>
      <c r="H9" s="15"/>
      <c r="I9" s="17">
        <f ca="1">IF(LEN(INDIRECT(ADDRESS(ROW()-1, COLUMN())))=1,"",INDIRECT(ADDRESS(57,6))-INDIRECT(ADDRESS(57,7)))</f>
        <v>9</v>
      </c>
      <c r="J9" s="17">
        <f ca="1">IF(LEN(INDIRECT(ADDRESS(ROW()-1, COLUMN())))=1,"",INDIRECT(ADDRESS(61,7))-INDIRECT(ADDRESS(61,6)))</f>
        <v>-5</v>
      </c>
      <c r="K9" s="45">
        <f ca="1">IF(LEN(INDIRECT(ADDRESS(ROW()-1, COLUMN())))=1,"",INDIRECT(ADDRESS(26,6))-INDIRECT(ADDRESS(26,7)))</f>
        <v>-3</v>
      </c>
      <c r="L9" s="45">
        <f ca="1">IF(LEN(INDIRECT(ADDRESS(ROW()-1, COLUMN())))=1,"",INDIRECT(ADDRESS(32,7))-INDIRECT(ADDRESS(32,6)))</f>
        <v>-10</v>
      </c>
      <c r="M9" s="18">
        <f ca="1">IF(LEN(INDIRECT(ADDRESS(ROW()-1, COLUMN())))=1,"",INDIRECT(ADDRESS(48,6))-INDIRECT(ADDRESS(48,7)))</f>
        <v>6</v>
      </c>
      <c r="N9" s="107"/>
      <c r="O9" s="17">
        <f ca="1">IF(COUNT(F9:M9)=0,"",SUM(F9:M9))</f>
        <v>-14</v>
      </c>
      <c r="P9" s="119"/>
    </row>
    <row r="10" spans="2:16" customFormat="1" ht="24" customHeight="1">
      <c r="B10" s="111">
        <v>4</v>
      </c>
      <c r="C10" s="113" t="s">
        <v>33</v>
      </c>
      <c r="D10" s="114"/>
      <c r="E10" s="115"/>
      <c r="F10" s="12" t="str">
        <f ca="1">INDIRECT(ADDRESS(44,7))&amp;":"&amp;INDIRECT(ADDRESS(44,6))</f>
        <v>11:13</v>
      </c>
      <c r="G10" s="7" t="str">
        <f ca="1">INDIRECT(ADDRESS(49,6))&amp;":"&amp;INDIRECT(ADDRESS(49,7))</f>
        <v>13:7</v>
      </c>
      <c r="H10" s="7" t="str">
        <f ca="1">INDIRECT(ADDRESS(57,7))&amp;":"&amp;INDIRECT(ADDRESS(57,6))</f>
        <v>4:13</v>
      </c>
      <c r="I10" s="8"/>
      <c r="J10" s="7" t="str">
        <f ca="1">INDIRECT(ADDRESS(27,6))&amp;":"&amp;INDIRECT(ADDRESS(27,7))</f>
        <v>10:5</v>
      </c>
      <c r="K10" s="46" t="str">
        <f ca="1">INDIRECT(ADDRESS(31,7))&amp;":"&amp;INDIRECT(ADDRESS(31,6))</f>
        <v>3:13</v>
      </c>
      <c r="L10" s="46" t="str">
        <f ca="1">INDIRECT(ADDRESS(38,6))&amp;":"&amp;INDIRECT(ADDRESS(38,7))</f>
        <v>13:9</v>
      </c>
      <c r="M10" s="11" t="str">
        <f ca="1">INDIRECT(ADDRESS(60,6))&amp;":"&amp;INDIRECT(ADDRESS(60,7))</f>
        <v>3:13</v>
      </c>
      <c r="N10" s="107">
        <f ca="1">IF(COUNT(F11:M11)=0,"",COUNTIF(F11:M11,"&gt;0")+0.5*COUNTIF(F11:M11,0))</f>
        <v>3</v>
      </c>
      <c r="O10" s="17"/>
      <c r="P10" s="109">
        <v>5</v>
      </c>
    </row>
    <row r="11" spans="2:16" customFormat="1" ht="24" customHeight="1">
      <c r="B11" s="129"/>
      <c r="C11" s="113"/>
      <c r="D11" s="114"/>
      <c r="E11" s="115"/>
      <c r="F11" s="23">
        <f ca="1">IF(LEN(INDIRECT(ADDRESS(ROW()-1, COLUMN())))=1,"",INDIRECT(ADDRESS(44,7))-INDIRECT(ADDRESS(44,6)))</f>
        <v>-2</v>
      </c>
      <c r="G11" s="17">
        <f ca="1">IF(LEN(INDIRECT(ADDRESS(ROW()-1, COLUMN())))=1,"",INDIRECT(ADDRESS(49,6))-INDIRECT(ADDRESS(49,7)))</f>
        <v>6</v>
      </c>
      <c r="H11" s="17">
        <f ca="1">IF(LEN(INDIRECT(ADDRESS(ROW()-1, COLUMN())))=1,"",INDIRECT(ADDRESS(57,7))-INDIRECT(ADDRESS(57,6)))</f>
        <v>-9</v>
      </c>
      <c r="I11" s="15"/>
      <c r="J11" s="17">
        <f ca="1">IF(LEN(INDIRECT(ADDRESS(ROW()-1, COLUMN())))=1,"",INDIRECT(ADDRESS(27,6))-INDIRECT(ADDRESS(27,7)))</f>
        <v>5</v>
      </c>
      <c r="K11" s="45">
        <f ca="1">IF(LEN(INDIRECT(ADDRESS(ROW()-1, COLUMN())))=1,"",INDIRECT(ADDRESS(31,7))-INDIRECT(ADDRESS(31,6)))</f>
        <v>-10</v>
      </c>
      <c r="L11" s="45">
        <f ca="1">IF(LEN(INDIRECT(ADDRESS(ROW()-1, COLUMN())))=1,"",INDIRECT(ADDRESS(38,6))-INDIRECT(ADDRESS(38,7)))</f>
        <v>4</v>
      </c>
      <c r="M11" s="18">
        <f ca="1">IF(LEN(INDIRECT(ADDRESS(ROW()-1, COLUMN())))=1,"",INDIRECT(ADDRESS(60,6))-INDIRECT(ADDRESS(60,7)))</f>
        <v>-10</v>
      </c>
      <c r="N11" s="107"/>
      <c r="O11" s="17">
        <f ca="1">IF(COUNT(F11:M11)=0,"",SUM(F11:M11))</f>
        <v>-16</v>
      </c>
      <c r="P11" s="119"/>
    </row>
    <row r="12" spans="2:16" customFormat="1" ht="24" customHeight="1">
      <c r="B12" s="111">
        <v>5</v>
      </c>
      <c r="C12" s="113" t="s">
        <v>34</v>
      </c>
      <c r="D12" s="114"/>
      <c r="E12" s="115"/>
      <c r="F12" s="12" t="str">
        <f ca="1">INDIRECT(ADDRESS(50,6))&amp;":"&amp;INDIRECT(ADDRESS(50,7))</f>
        <v>5:13</v>
      </c>
      <c r="G12" s="7" t="str">
        <f ca="1">INDIRECT(ADDRESS(56,7))&amp;":"&amp;INDIRECT(ADDRESS(56,6))</f>
        <v>13:7</v>
      </c>
      <c r="H12" s="7" t="str">
        <f ca="1">INDIRECT(ADDRESS(61,6))&amp;":"&amp;INDIRECT(ADDRESS(61,7))</f>
        <v>11:6</v>
      </c>
      <c r="I12" s="7" t="str">
        <f ca="1">INDIRECT(ADDRESS(27,7))&amp;":"&amp;INDIRECT(ADDRESS(27,6))</f>
        <v>5:10</v>
      </c>
      <c r="J12" s="8"/>
      <c r="K12" s="46" t="str">
        <f ca="1">INDIRECT(ADDRESS(39,6))&amp;":"&amp;INDIRECT(ADDRESS(39,7))</f>
        <v>13:8</v>
      </c>
      <c r="L12" s="46" t="str">
        <f ca="1">INDIRECT(ADDRESS(43,7))&amp;":"&amp;INDIRECT(ADDRESS(43,6))</f>
        <v>8:13</v>
      </c>
      <c r="M12" s="11" t="str">
        <f ca="1">INDIRECT(ADDRESS(30,7))&amp;":"&amp;INDIRECT(ADDRESS(30,6))</f>
        <v>13:7</v>
      </c>
      <c r="N12" s="107">
        <f ca="1">IF(COUNT(F13:M13)=0,"",COUNTIF(F13:M13,"&gt;0")+0.5*COUNTIF(F13:M13,0))</f>
        <v>4</v>
      </c>
      <c r="O12" s="17"/>
      <c r="P12" s="109">
        <v>3</v>
      </c>
    </row>
    <row r="13" spans="2:16" customFormat="1" ht="24" customHeight="1">
      <c r="B13" s="129"/>
      <c r="C13" s="113"/>
      <c r="D13" s="114"/>
      <c r="E13" s="115"/>
      <c r="F13" s="23">
        <f ca="1">IF(LEN(INDIRECT(ADDRESS(ROW()-1, COLUMN())))=1,"",INDIRECT(ADDRESS(50,6))-INDIRECT(ADDRESS(50,7)))</f>
        <v>-8</v>
      </c>
      <c r="G13" s="17">
        <f ca="1">IF(LEN(INDIRECT(ADDRESS(ROW()-1, COLUMN())))=1,"",INDIRECT(ADDRESS(56,7))-INDIRECT(ADDRESS(56,6)))</f>
        <v>6</v>
      </c>
      <c r="H13" s="17">
        <f ca="1">IF(LEN(INDIRECT(ADDRESS(ROW()-1, COLUMN())))=1,"",INDIRECT(ADDRESS(61,6))-INDIRECT(ADDRESS(61,7)))</f>
        <v>5</v>
      </c>
      <c r="I13" s="17">
        <f ca="1">IF(LEN(INDIRECT(ADDRESS(ROW()-1, COLUMN())))=1,"",INDIRECT(ADDRESS(27,7))-INDIRECT(ADDRESS(27,6)))</f>
        <v>-5</v>
      </c>
      <c r="J13" s="15"/>
      <c r="K13" s="45">
        <f ca="1">IF(LEN(INDIRECT(ADDRESS(ROW()-1, COLUMN())))=1,"",INDIRECT(ADDRESS(39,6))-INDIRECT(ADDRESS(39,7)))</f>
        <v>5</v>
      </c>
      <c r="L13" s="45">
        <f ca="1">IF(LEN(INDIRECT(ADDRESS(ROW()-1, COLUMN())))=1,"",INDIRECT(ADDRESS(43,7))-INDIRECT(ADDRESS(43,6)))</f>
        <v>-5</v>
      </c>
      <c r="M13" s="18">
        <f ca="1">IF(LEN(INDIRECT(ADDRESS(ROW()-1, COLUMN())))=1,"",INDIRECT(ADDRESS(30,7))-INDIRECT(ADDRESS(30,6)))</f>
        <v>6</v>
      </c>
      <c r="N13" s="107"/>
      <c r="O13" s="17">
        <f ca="1">IF(COUNT(F13:M13)=0,"",SUM(F13:M13))</f>
        <v>4</v>
      </c>
      <c r="P13" s="119"/>
    </row>
    <row r="14" spans="2:16" customFormat="1" ht="24" customHeight="1">
      <c r="B14" s="111">
        <v>6</v>
      </c>
      <c r="C14" s="113" t="s">
        <v>35</v>
      </c>
      <c r="D14" s="114"/>
      <c r="E14" s="115"/>
      <c r="F14" s="12" t="str">
        <f ca="1">INDIRECT(ADDRESS(55,7))&amp;":"&amp;INDIRECT(ADDRESS(55,6))</f>
        <v>13:10</v>
      </c>
      <c r="G14" s="7" t="str">
        <f ca="1">INDIRECT(ADDRESS(62,6))&amp;":"&amp;INDIRECT(ADDRESS(62,7))</f>
        <v>13:7</v>
      </c>
      <c r="H14" s="7" t="str">
        <f ca="1">INDIRECT(ADDRESS(26,7))&amp;":"&amp;INDIRECT(ADDRESS(26,6))</f>
        <v>13:10</v>
      </c>
      <c r="I14" s="7" t="str">
        <f ca="1">INDIRECT(ADDRESS(31,6))&amp;":"&amp;INDIRECT(ADDRESS(31,7))</f>
        <v>13:3</v>
      </c>
      <c r="J14" s="7" t="str">
        <f ca="1">INDIRECT(ADDRESS(39,7))&amp;":"&amp;INDIRECT(ADDRESS(39,6))</f>
        <v>8:13</v>
      </c>
      <c r="K14" s="47"/>
      <c r="L14" s="56" t="str">
        <f ca="1">INDIRECT(ADDRESS(51,6))&amp;":"&amp;INDIRECT(ADDRESS(51,7))</f>
        <v>13:9</v>
      </c>
      <c r="M14" s="51" t="str">
        <f ca="1">INDIRECT(ADDRESS(42,7))&amp;":"&amp;INDIRECT(ADDRESS(42,6))</f>
        <v>13:2</v>
      </c>
      <c r="N14" s="107">
        <f ca="1">IF(COUNT(F15:M15)=0,"",COUNTIF(F15:M15,"&gt;0")+0.5*COUNTIF(F15:M15,0))</f>
        <v>6</v>
      </c>
      <c r="O14" s="17"/>
      <c r="P14" s="109">
        <v>1</v>
      </c>
    </row>
    <row r="15" spans="2:16" customFormat="1" ht="24" customHeight="1">
      <c r="B15" s="129"/>
      <c r="C15" s="113"/>
      <c r="D15" s="114"/>
      <c r="E15" s="115"/>
      <c r="F15" s="23">
        <f ca="1">IF(LEN(INDIRECT(ADDRESS(ROW()-1, COLUMN())))=1,"",INDIRECT(ADDRESS(55,7))-INDIRECT(ADDRESS(55,6)))</f>
        <v>3</v>
      </c>
      <c r="G15" s="17">
        <f ca="1">IF(LEN(INDIRECT(ADDRESS(ROW()-1, COLUMN())))=1,"",INDIRECT(ADDRESS(62,6))-INDIRECT(ADDRESS(62,7)))</f>
        <v>6</v>
      </c>
      <c r="H15" s="17">
        <f ca="1">IF(LEN(INDIRECT(ADDRESS(ROW()-1, COLUMN())))=1,"",INDIRECT(ADDRESS(26,7))-INDIRECT(ADDRESS(26,6)))</f>
        <v>3</v>
      </c>
      <c r="I15" s="17">
        <f ca="1">IF(LEN(INDIRECT(ADDRESS(ROW()-1, COLUMN())))=1,"",INDIRECT(ADDRESS(31,6))-INDIRECT(ADDRESS(31,7)))</f>
        <v>10</v>
      </c>
      <c r="J15" s="17">
        <f ca="1">IF(LEN(INDIRECT(ADDRESS(ROW()-1, COLUMN())))=1,"",INDIRECT(ADDRESS(39,7))-INDIRECT(ADDRESS(39,6)))</f>
        <v>-5</v>
      </c>
      <c r="K15" s="48"/>
      <c r="L15" s="57">
        <f ca="1">IF(LEN(INDIRECT(ADDRESS(ROW()-1, COLUMN())))=1,"",INDIRECT(ADDRESS(51,6))-INDIRECT(ADDRESS(51,7)))</f>
        <v>4</v>
      </c>
      <c r="M15" s="52">
        <f ca="1">IF(LEN(INDIRECT(ADDRESS(ROW()-1, COLUMN())))=1,"",INDIRECT(ADDRESS(42,7))-INDIRECT(ADDRESS(42,6)))</f>
        <v>11</v>
      </c>
      <c r="N15" s="107"/>
      <c r="O15" s="17">
        <f ca="1">IF(COUNT(F15:M15)=0,"",SUM(F15:M15))</f>
        <v>32</v>
      </c>
      <c r="P15" s="119"/>
    </row>
    <row r="16" spans="2:16" customFormat="1" ht="24" customHeight="1">
      <c r="B16" s="120">
        <v>7</v>
      </c>
      <c r="C16" s="121" t="s">
        <v>36</v>
      </c>
      <c r="D16" s="122"/>
      <c r="E16" s="123"/>
      <c r="F16" s="40" t="str">
        <f ca="1">INDIRECT(ADDRESS(63,6))&amp;":"&amp;INDIRECT(ADDRESS(63,7))</f>
        <v>11:13</v>
      </c>
      <c r="G16" s="41" t="str">
        <f ca="1">INDIRECT(ADDRESS(25,7))&amp;":"&amp;INDIRECT(ADDRESS(25,6))</f>
        <v>7:11</v>
      </c>
      <c r="H16" s="41" t="str">
        <f ca="1">INDIRECT(ADDRESS(32,6))&amp;":"&amp;INDIRECT(ADDRESS(32,7))</f>
        <v>13:3</v>
      </c>
      <c r="I16" s="41" t="str">
        <f ca="1">INDIRECT(ADDRESS(38,7))&amp;":"&amp;INDIRECT(ADDRESS(38,6))</f>
        <v>9:13</v>
      </c>
      <c r="J16" s="41" t="str">
        <f ca="1">INDIRECT(ADDRESS(43,6))&amp;":"&amp;INDIRECT(ADDRESS(43,7))</f>
        <v>13:8</v>
      </c>
      <c r="K16" s="49" t="str">
        <f ca="1">INDIRECT(ADDRESS(51,7))&amp;":"&amp;INDIRECT(ADDRESS(51,6))</f>
        <v>9:13</v>
      </c>
      <c r="L16" s="58"/>
      <c r="M16" s="43" t="str">
        <f ca="1">INDIRECT(ADDRESS(54,7))&amp;":"&amp;INDIRECT(ADDRESS(54,6))</f>
        <v>5:13</v>
      </c>
      <c r="N16" s="107">
        <f ca="1">IF(COUNT(F17:M17)=0,"",COUNTIF(F17:M17,"&gt;0")+0.5*COUNTIF(F17:M17,0))</f>
        <v>2</v>
      </c>
      <c r="O16" s="42"/>
      <c r="P16" s="128">
        <v>7</v>
      </c>
    </row>
    <row r="17" spans="2:16" customFormat="1" ht="24" customHeight="1">
      <c r="B17" s="120"/>
      <c r="C17" s="124"/>
      <c r="D17" s="125"/>
      <c r="E17" s="126"/>
      <c r="F17" s="53">
        <f ca="1">IF(LEN(INDIRECT(ADDRESS(ROW()-1, COLUMN())))=1,"",INDIRECT(ADDRESS(63,6))-INDIRECT(ADDRESS(63,7)))</f>
        <v>-2</v>
      </c>
      <c r="G17" s="54">
        <f ca="1">IF(LEN(INDIRECT(ADDRESS(ROW()-1, COLUMN())))=1,"",INDIRECT(ADDRESS(25,7))-INDIRECT(ADDRESS(25,6)))</f>
        <v>-4</v>
      </c>
      <c r="H17" s="54">
        <f ca="1">IF(LEN(INDIRECT(ADDRESS(ROW()-1, COLUMN())))=1,"",INDIRECT(ADDRESS(32,6))-INDIRECT(ADDRESS(32,7)))</f>
        <v>10</v>
      </c>
      <c r="I17" s="54">
        <f ca="1">IF(LEN(INDIRECT(ADDRESS(ROW()-1, COLUMN())))=1,"",INDIRECT(ADDRESS(38,7))-INDIRECT(ADDRESS(38,6)))</f>
        <v>-4</v>
      </c>
      <c r="J17" s="54">
        <f ca="1">IF(LEN(INDIRECT(ADDRESS(ROW()-1, COLUMN())))=1,"",INDIRECT(ADDRESS(43,6))-INDIRECT(ADDRESS(43,7)))</f>
        <v>5</v>
      </c>
      <c r="K17" s="55">
        <f ca="1">IF(LEN(INDIRECT(ADDRESS(ROW()-1, COLUMN())))=1,"",INDIRECT(ADDRESS(51,7))-INDIRECT(ADDRESS(51,6)))</f>
        <v>-4</v>
      </c>
      <c r="L17" s="59"/>
      <c r="M17" s="61">
        <f ca="1">IF(LEN(INDIRECT(ADDRESS(ROW()-1, COLUMN())))=1,"",INDIRECT(ADDRESS(54,7))-INDIRECT(ADDRESS(54,6)))</f>
        <v>-8</v>
      </c>
      <c r="N17" s="127"/>
      <c r="O17" s="54">
        <f ca="1">IF(COUNT(F17:M17)=0,"",SUM(F17:M17))</f>
        <v>-7</v>
      </c>
      <c r="P17" s="128"/>
    </row>
    <row r="18" spans="2:16" customFormat="1" ht="24" customHeight="1">
      <c r="B18" s="111">
        <v>8</v>
      </c>
      <c r="C18" s="113" t="s">
        <v>37</v>
      </c>
      <c r="D18" s="114"/>
      <c r="E18" s="115"/>
      <c r="F18" s="12" t="str">
        <f ca="1">INDIRECT(ADDRESS(24,7))&amp;":"&amp;INDIRECT(ADDRESS(24,6))</f>
        <v>3:13</v>
      </c>
      <c r="G18" s="7" t="str">
        <f ca="1">INDIRECT(ADDRESS(36,7))&amp;":"&amp;INDIRECT(ADDRESS(36,6))</f>
        <v>9:3</v>
      </c>
      <c r="H18" s="7" t="str">
        <f ca="1">INDIRECT(ADDRESS(48,7))&amp;":"&amp;INDIRECT(ADDRESS(48,6))</f>
        <v>7:13</v>
      </c>
      <c r="I18" s="7" t="str">
        <f ca="1">INDIRECT(ADDRESS(60,7))&amp;":"&amp;INDIRECT(ADDRESS(60,6))</f>
        <v>13:3</v>
      </c>
      <c r="J18" s="7" t="str">
        <f ca="1">INDIRECT(ADDRESS(30,6))&amp;":"&amp;INDIRECT(ADDRESS(30,7))</f>
        <v>7:13</v>
      </c>
      <c r="K18" s="56" t="str">
        <f ca="1">INDIRECT(ADDRESS(42,6))&amp;":"&amp;INDIRECT(ADDRESS(42,7))</f>
        <v>2:13</v>
      </c>
      <c r="L18" s="56" t="str">
        <f ca="1">INDIRECT(ADDRESS(54,6))&amp;":"&amp;INDIRECT(ADDRESS(54,7))</f>
        <v>13:5</v>
      </c>
      <c r="M18" s="13"/>
      <c r="N18" s="107">
        <f ca="1">IF(COUNT(F19:M19)=0,"",COUNTIF(F19:M19,"&gt;0")+0.5*COUNTIF(F19:M19,0))</f>
        <v>3</v>
      </c>
      <c r="O18" s="17"/>
      <c r="P18" s="109">
        <v>4</v>
      </c>
    </row>
    <row r="19" spans="2:16" customFormat="1" ht="24" customHeight="1" thickBot="1">
      <c r="B19" s="112"/>
      <c r="C19" s="116"/>
      <c r="D19" s="117"/>
      <c r="E19" s="118"/>
      <c r="F19" s="20">
        <f ca="1">IF(LEN(INDIRECT(ADDRESS(ROW()-1, COLUMN())))=1,"",INDIRECT(ADDRESS(24,7))-INDIRECT(ADDRESS(24,6)))</f>
        <v>-10</v>
      </c>
      <c r="G19" s="19">
        <f ca="1">IF(LEN(INDIRECT(ADDRESS(ROW()-1, COLUMN())))=1,"",INDIRECT(ADDRESS(36,7))-INDIRECT(ADDRESS(36,6)))</f>
        <v>6</v>
      </c>
      <c r="H19" s="19">
        <f ca="1">IF(LEN(INDIRECT(ADDRESS(ROW()-1, COLUMN())))=1,"",INDIRECT(ADDRESS(48,7))-INDIRECT(ADDRESS(48,6)))</f>
        <v>-6</v>
      </c>
      <c r="I19" s="19">
        <f ca="1">IF(LEN(INDIRECT(ADDRESS(ROW()-1, COLUMN())))=1,"",INDIRECT(ADDRESS(60,7))-INDIRECT(ADDRESS(60,6)))</f>
        <v>10</v>
      </c>
      <c r="J19" s="19">
        <f ca="1">IF(LEN(INDIRECT(ADDRESS(ROW()-1, COLUMN())))=1,"",INDIRECT(ADDRESS(30,6))-INDIRECT(ADDRESS(30,7)))</f>
        <v>-6</v>
      </c>
      <c r="K19" s="50">
        <f ca="1">IF(LEN(INDIRECT(ADDRESS(ROW()-1, COLUMN())))=1,"",INDIRECT(ADDRESS(42,6))-INDIRECT(ADDRESS(42,7)))</f>
        <v>-11</v>
      </c>
      <c r="L19" s="50">
        <f ca="1">IF(LEN(INDIRECT(ADDRESS(ROW()-1, COLUMN())))=1,"",INDIRECT(ADDRESS(54,6))-INDIRECT(ADDRESS(54,7)))</f>
        <v>8</v>
      </c>
      <c r="M19" s="16"/>
      <c r="N19" s="108"/>
      <c r="O19" s="19">
        <f ca="1">IF(COUNT(F19:M19)=0,"",SUM(F19:M19))</f>
        <v>-9</v>
      </c>
      <c r="P19" s="110"/>
    </row>
    <row r="20" spans="2:16" customFormat="1"/>
    <row r="21" spans="2:16" customFormat="1"/>
    <row r="22" spans="2:16" customFormat="1"/>
    <row r="23" spans="2:16" customFormat="1" ht="30" customHeight="1" thickBot="1">
      <c r="B23" s="106" t="s">
        <v>4</v>
      </c>
      <c r="C23" s="106"/>
      <c r="D23" s="106"/>
      <c r="E23" s="106"/>
      <c r="F23" s="106"/>
      <c r="G23" s="106"/>
      <c r="H23" s="106"/>
      <c r="I23" s="106"/>
      <c r="J23" s="106"/>
      <c r="K23" s="106"/>
    </row>
    <row r="24" spans="2:16" customFormat="1" ht="30" customHeight="1" thickBot="1">
      <c r="B24" s="5">
        <v>1</v>
      </c>
      <c r="C24" s="103" t="str">
        <f ca="1">IF(ISBLANK(INDIRECT(ADDRESS(B24*2+2,3))),"",INDIRECT(ADDRESS(B24*2+2,3)))</f>
        <v>Лукин Сергей</v>
      </c>
      <c r="D24" s="103"/>
      <c r="E24" s="104"/>
      <c r="F24" s="26">
        <v>13</v>
      </c>
      <c r="G24" s="27">
        <v>3</v>
      </c>
      <c r="H24" s="105" t="str">
        <f ca="1">IF(ISBLANK(INDIRECT(ADDRESS(K24*2+2,3))),"",INDIRECT(ADDRESS(K24*2+2,3)))</f>
        <v>Плаксин Алексей</v>
      </c>
      <c r="I24" s="103"/>
      <c r="J24" s="103"/>
      <c r="K24" s="5">
        <v>8</v>
      </c>
      <c r="L24" s="36" t="s">
        <v>11</v>
      </c>
      <c r="M24" s="37">
        <v>1</v>
      </c>
    </row>
    <row r="25" spans="2:16" customFormat="1" ht="30" customHeight="1" thickBot="1">
      <c r="B25" s="5">
        <v>2</v>
      </c>
      <c r="C25" s="103" t="str">
        <f ca="1">IF(ISBLANK(INDIRECT(ADDRESS(B25*2+2,3))),"",INDIRECT(ADDRESS(B25*2+2,3)))</f>
        <v>Мороз Алексей</v>
      </c>
      <c r="D25" s="103"/>
      <c r="E25" s="104"/>
      <c r="F25" s="26">
        <v>11</v>
      </c>
      <c r="G25" s="27">
        <v>7</v>
      </c>
      <c r="H25" s="105" t="str">
        <f ca="1">IF(ISBLANK(INDIRECT(ADDRESS(K25*2+2,3))),"",INDIRECT(ADDRESS(K25*2+2,3)))</f>
        <v>Андреев Андрей</v>
      </c>
      <c r="I25" s="103"/>
      <c r="J25" s="103"/>
      <c r="K25" s="5">
        <v>7</v>
      </c>
      <c r="L25" s="36" t="s">
        <v>11</v>
      </c>
      <c r="M25" s="37">
        <v>2</v>
      </c>
    </row>
    <row r="26" spans="2:16" customFormat="1" ht="30" customHeight="1" thickBot="1">
      <c r="B26" s="5">
        <v>3</v>
      </c>
      <c r="C26" s="103" t="str">
        <f ca="1">IF(ISBLANK(INDIRECT(ADDRESS(B26*2+2,3))),"",INDIRECT(ADDRESS(B26*2+2,3)))</f>
        <v>Майсов Антон</v>
      </c>
      <c r="D26" s="103"/>
      <c r="E26" s="104"/>
      <c r="F26" s="26">
        <v>10</v>
      </c>
      <c r="G26" s="27">
        <v>13</v>
      </c>
      <c r="H26" s="105" t="str">
        <f ca="1">IF(ISBLANK(INDIRECT(ADDRESS(K26*2+2,3))),"",INDIRECT(ADDRESS(K26*2+2,3)))</f>
        <v>Базарев Дмитрий</v>
      </c>
      <c r="I26" s="103"/>
      <c r="J26" s="103"/>
      <c r="K26" s="5">
        <v>6</v>
      </c>
      <c r="L26" s="36" t="s">
        <v>11</v>
      </c>
      <c r="M26" s="37">
        <v>3</v>
      </c>
    </row>
    <row r="27" spans="2:16" customFormat="1" ht="30" customHeight="1" thickBot="1">
      <c r="B27" s="5">
        <v>4</v>
      </c>
      <c r="C27" s="103" t="str">
        <f ca="1">IF(ISBLANK(INDIRECT(ADDRESS(B27*2+2,3))),"",INDIRECT(ADDRESS(B27*2+2,3)))</f>
        <v>Данилов Максим</v>
      </c>
      <c r="D27" s="103"/>
      <c r="E27" s="104"/>
      <c r="F27" s="26">
        <v>10</v>
      </c>
      <c r="G27" s="27">
        <v>5</v>
      </c>
      <c r="H27" s="105" t="str">
        <f ca="1">IF(ISBLANK(INDIRECT(ADDRESS(K27*2+2,3))),"",INDIRECT(ADDRESS(K27*2+2,3)))</f>
        <v>Сурнин Константин</v>
      </c>
      <c r="I27" s="103"/>
      <c r="J27" s="103"/>
      <c r="K27" s="5">
        <v>5</v>
      </c>
      <c r="L27" s="36" t="s">
        <v>11</v>
      </c>
      <c r="M27" s="37">
        <v>4</v>
      </c>
    </row>
    <row r="28" spans="2:16" customFormat="1" ht="30" customHeight="1">
      <c r="M28" s="39"/>
    </row>
    <row r="29" spans="2:16" customFormat="1" ht="30" customHeight="1" thickBot="1">
      <c r="B29" s="106" t="s">
        <v>5</v>
      </c>
      <c r="C29" s="106"/>
      <c r="D29" s="106"/>
      <c r="E29" s="106"/>
      <c r="F29" s="106"/>
      <c r="G29" s="106"/>
      <c r="H29" s="106"/>
      <c r="I29" s="106"/>
      <c r="J29" s="106"/>
      <c r="K29" s="106"/>
      <c r="M29" s="39"/>
    </row>
    <row r="30" spans="2:16" customFormat="1" ht="30" customHeight="1" thickBot="1">
      <c r="B30" s="5">
        <v>8</v>
      </c>
      <c r="C30" s="103" t="str">
        <f ca="1">IF(ISBLANK(INDIRECT(ADDRESS(B30*2+2,3))),"",INDIRECT(ADDRESS(B30*2+2,3)))</f>
        <v>Плаксин Алексей</v>
      </c>
      <c r="D30" s="103"/>
      <c r="E30" s="104"/>
      <c r="F30" s="26">
        <v>7</v>
      </c>
      <c r="G30" s="27">
        <v>13</v>
      </c>
      <c r="H30" s="105" t="str">
        <f ca="1">IF(ISBLANK(INDIRECT(ADDRESS(K30*2+2,3))),"",INDIRECT(ADDRESS(K30*2+2,3)))</f>
        <v>Сурнин Константин</v>
      </c>
      <c r="I30" s="103"/>
      <c r="J30" s="103"/>
      <c r="K30" s="5">
        <v>5</v>
      </c>
      <c r="L30" s="36" t="s">
        <v>11</v>
      </c>
      <c r="M30" s="37">
        <v>2</v>
      </c>
    </row>
    <row r="31" spans="2:16" customFormat="1" ht="30" customHeight="1" thickBot="1">
      <c r="B31" s="5">
        <v>6</v>
      </c>
      <c r="C31" s="103" t="str">
        <f ca="1">IF(ISBLANK(INDIRECT(ADDRESS(B31*2+2,3))),"",INDIRECT(ADDRESS(B31*2+2,3)))</f>
        <v>Базарев Дмитрий</v>
      </c>
      <c r="D31" s="103"/>
      <c r="E31" s="104"/>
      <c r="F31" s="26">
        <v>13</v>
      </c>
      <c r="G31" s="27">
        <v>3</v>
      </c>
      <c r="H31" s="105" t="str">
        <f ca="1">IF(ISBLANK(INDIRECT(ADDRESS(K31*2+2,3))),"",INDIRECT(ADDRESS(K31*2+2,3)))</f>
        <v>Данилов Максим</v>
      </c>
      <c r="I31" s="103"/>
      <c r="J31" s="103"/>
      <c r="K31" s="5">
        <v>4</v>
      </c>
      <c r="L31" s="36" t="s">
        <v>11</v>
      </c>
      <c r="M31" s="37">
        <v>1</v>
      </c>
    </row>
    <row r="32" spans="2:16" customFormat="1" ht="30" customHeight="1" thickBot="1">
      <c r="B32" s="5">
        <v>7</v>
      </c>
      <c r="C32" s="103" t="str">
        <f ca="1">IF(ISBLANK(INDIRECT(ADDRESS(B32*2+2,3))),"",INDIRECT(ADDRESS(B32*2+2,3)))</f>
        <v>Андреев Андрей</v>
      </c>
      <c r="D32" s="103"/>
      <c r="E32" s="104"/>
      <c r="F32" s="26">
        <v>13</v>
      </c>
      <c r="G32" s="27">
        <v>3</v>
      </c>
      <c r="H32" s="105" t="str">
        <f ca="1">IF(ISBLANK(INDIRECT(ADDRESS(K32*2+2,3))),"",INDIRECT(ADDRESS(K32*2+2,3)))</f>
        <v>Майсов Антон</v>
      </c>
      <c r="I32" s="103"/>
      <c r="J32" s="103"/>
      <c r="K32" s="5">
        <v>3</v>
      </c>
      <c r="L32" s="36" t="s">
        <v>11</v>
      </c>
      <c r="M32" s="37">
        <v>4</v>
      </c>
    </row>
    <row r="33" spans="2:13" customFormat="1" ht="30" customHeight="1" thickBot="1">
      <c r="B33" s="5">
        <v>1</v>
      </c>
      <c r="C33" s="103" t="str">
        <f ca="1">IF(ISBLANK(INDIRECT(ADDRESS(B33*2+2,3))),"",INDIRECT(ADDRESS(B33*2+2,3)))</f>
        <v>Лукин Сергей</v>
      </c>
      <c r="D33" s="103"/>
      <c r="E33" s="104"/>
      <c r="F33" s="26">
        <v>13</v>
      </c>
      <c r="G33" s="27">
        <v>4</v>
      </c>
      <c r="H33" s="105" t="str">
        <f ca="1">IF(ISBLANK(INDIRECT(ADDRESS(K33*2+2,3))),"",INDIRECT(ADDRESS(K33*2+2,3)))</f>
        <v>Мороз Алексей</v>
      </c>
      <c r="I33" s="103"/>
      <c r="J33" s="103"/>
      <c r="K33" s="5">
        <v>2</v>
      </c>
      <c r="L33" s="36" t="s">
        <v>11</v>
      </c>
      <c r="M33" s="37">
        <v>3</v>
      </c>
    </row>
    <row r="34" spans="2:13" customFormat="1" ht="30" customHeight="1">
      <c r="M34" s="39"/>
    </row>
    <row r="35" spans="2:13" customFormat="1" ht="30" customHeight="1" thickBot="1">
      <c r="B35" s="106" t="s">
        <v>6</v>
      </c>
      <c r="C35" s="106"/>
      <c r="D35" s="106"/>
      <c r="E35" s="106"/>
      <c r="F35" s="106"/>
      <c r="G35" s="106"/>
      <c r="H35" s="106"/>
      <c r="I35" s="106"/>
      <c r="J35" s="106"/>
      <c r="K35" s="106"/>
      <c r="M35" s="39"/>
    </row>
    <row r="36" spans="2:13" customFormat="1" ht="30" customHeight="1" thickBot="1">
      <c r="B36" s="5">
        <v>2</v>
      </c>
      <c r="C36" s="103" t="str">
        <f ca="1">IF(ISBLANK(INDIRECT(ADDRESS(B36*2+2,3))),"",INDIRECT(ADDRESS(B36*2+2,3)))</f>
        <v>Мороз Алексей</v>
      </c>
      <c r="D36" s="103"/>
      <c r="E36" s="104"/>
      <c r="F36" s="26">
        <v>3</v>
      </c>
      <c r="G36" s="27">
        <v>9</v>
      </c>
      <c r="H36" s="105" t="str">
        <f ca="1">IF(ISBLANK(INDIRECT(ADDRESS(K36*2+2,3))),"",INDIRECT(ADDRESS(K36*2+2,3)))</f>
        <v>Плаксин Алексей</v>
      </c>
      <c r="I36" s="103"/>
      <c r="J36" s="103"/>
      <c r="K36" s="5">
        <v>8</v>
      </c>
      <c r="L36" s="36" t="s">
        <v>11</v>
      </c>
      <c r="M36" s="37">
        <v>4</v>
      </c>
    </row>
    <row r="37" spans="2:13" customFormat="1" ht="30" customHeight="1" thickBot="1">
      <c r="B37" s="5">
        <v>3</v>
      </c>
      <c r="C37" s="103" t="str">
        <f ca="1">IF(ISBLANK(INDIRECT(ADDRESS(B37*2+2,3))),"",INDIRECT(ADDRESS(B37*2+2,3)))</f>
        <v>Майсов Антон</v>
      </c>
      <c r="D37" s="103"/>
      <c r="E37" s="104"/>
      <c r="F37" s="26">
        <v>9</v>
      </c>
      <c r="G37" s="27">
        <v>13</v>
      </c>
      <c r="H37" s="105" t="str">
        <f ca="1">IF(ISBLANK(INDIRECT(ADDRESS(K37*2+2,3))),"",INDIRECT(ADDRESS(K37*2+2,3)))</f>
        <v>Лукин Сергей</v>
      </c>
      <c r="I37" s="103"/>
      <c r="J37" s="103"/>
      <c r="K37" s="5">
        <v>1</v>
      </c>
      <c r="L37" s="36" t="s">
        <v>11</v>
      </c>
      <c r="M37" s="37">
        <v>3</v>
      </c>
    </row>
    <row r="38" spans="2:13" customFormat="1" ht="30" customHeight="1" thickBot="1">
      <c r="B38" s="5">
        <v>4</v>
      </c>
      <c r="C38" s="103" t="str">
        <f ca="1">IF(ISBLANK(INDIRECT(ADDRESS(B38*2+2,3))),"",INDIRECT(ADDRESS(B38*2+2,3)))</f>
        <v>Данилов Максим</v>
      </c>
      <c r="D38" s="103"/>
      <c r="E38" s="104"/>
      <c r="F38" s="26">
        <v>13</v>
      </c>
      <c r="G38" s="27">
        <v>9</v>
      </c>
      <c r="H38" s="105" t="str">
        <f ca="1">IF(ISBLANK(INDIRECT(ADDRESS(K38*2+2,3))),"",INDIRECT(ADDRESS(K38*2+2,3)))</f>
        <v>Андреев Андрей</v>
      </c>
      <c r="I38" s="103"/>
      <c r="J38" s="103"/>
      <c r="K38" s="5">
        <v>7</v>
      </c>
      <c r="L38" s="36" t="s">
        <v>11</v>
      </c>
      <c r="M38" s="37">
        <v>1</v>
      </c>
    </row>
    <row r="39" spans="2:13" customFormat="1" ht="30" customHeight="1" thickBot="1">
      <c r="B39" s="5">
        <v>5</v>
      </c>
      <c r="C39" s="103" t="str">
        <f ca="1">IF(ISBLANK(INDIRECT(ADDRESS(B39*2+2,3))),"",INDIRECT(ADDRESS(B39*2+2,3)))</f>
        <v>Сурнин Константин</v>
      </c>
      <c r="D39" s="103"/>
      <c r="E39" s="104"/>
      <c r="F39" s="26">
        <v>13</v>
      </c>
      <c r="G39" s="27">
        <v>8</v>
      </c>
      <c r="H39" s="105" t="str">
        <f ca="1">IF(ISBLANK(INDIRECT(ADDRESS(K39*2+2,3))),"",INDIRECT(ADDRESS(K39*2+2,3)))</f>
        <v>Базарев Дмитрий</v>
      </c>
      <c r="I39" s="103"/>
      <c r="J39" s="103"/>
      <c r="K39" s="5">
        <v>6</v>
      </c>
      <c r="L39" s="36" t="s">
        <v>11</v>
      </c>
      <c r="M39" s="37">
        <v>2</v>
      </c>
    </row>
    <row r="40" spans="2:13" customFormat="1" ht="30" customHeight="1">
      <c r="M40" s="39"/>
    </row>
    <row r="41" spans="2:13" customFormat="1" ht="30" customHeight="1" thickBot="1">
      <c r="B41" s="106" t="s">
        <v>8</v>
      </c>
      <c r="C41" s="106"/>
      <c r="D41" s="106"/>
      <c r="E41" s="106"/>
      <c r="F41" s="106"/>
      <c r="G41" s="106"/>
      <c r="H41" s="106"/>
      <c r="I41" s="106"/>
      <c r="J41" s="106"/>
      <c r="K41" s="106"/>
      <c r="M41" s="39"/>
    </row>
    <row r="42" spans="2:13" customFormat="1" ht="30" customHeight="1" thickBot="1">
      <c r="B42" s="5">
        <v>8</v>
      </c>
      <c r="C42" s="103" t="str">
        <f ca="1">IF(ISBLANK(INDIRECT(ADDRESS(B42*2+2,3))),"",INDIRECT(ADDRESS(B42*2+2,3)))</f>
        <v>Плаксин Алексей</v>
      </c>
      <c r="D42" s="103"/>
      <c r="E42" s="104"/>
      <c r="F42" s="26">
        <v>2</v>
      </c>
      <c r="G42" s="27">
        <v>13</v>
      </c>
      <c r="H42" s="105" t="str">
        <f ca="1">IF(ISBLANK(INDIRECT(ADDRESS(K42*2+2,3))),"",INDIRECT(ADDRESS(K42*2+2,3)))</f>
        <v>Базарев Дмитрий</v>
      </c>
      <c r="I42" s="103"/>
      <c r="J42" s="103"/>
      <c r="K42" s="5">
        <v>6</v>
      </c>
      <c r="L42" s="36" t="s">
        <v>11</v>
      </c>
      <c r="M42" s="37">
        <v>2</v>
      </c>
    </row>
    <row r="43" spans="2:13" customFormat="1" ht="30" customHeight="1" thickBot="1">
      <c r="B43" s="5">
        <v>7</v>
      </c>
      <c r="C43" s="103" t="str">
        <f ca="1">IF(ISBLANK(INDIRECT(ADDRESS(B43*2+2,3))),"",INDIRECT(ADDRESS(B43*2+2,3)))</f>
        <v>Андреев Андрей</v>
      </c>
      <c r="D43" s="103"/>
      <c r="E43" s="104"/>
      <c r="F43" s="26">
        <v>13</v>
      </c>
      <c r="G43" s="27">
        <v>8</v>
      </c>
      <c r="H43" s="105" t="str">
        <f ca="1">IF(ISBLANK(INDIRECT(ADDRESS(K43*2+2,3))),"",INDIRECT(ADDRESS(K43*2+2,3)))</f>
        <v>Сурнин Константин</v>
      </c>
      <c r="I43" s="103"/>
      <c r="J43" s="103"/>
      <c r="K43" s="5">
        <v>5</v>
      </c>
      <c r="L43" s="36" t="s">
        <v>11</v>
      </c>
      <c r="M43" s="37">
        <v>3</v>
      </c>
    </row>
    <row r="44" spans="2:13" customFormat="1" ht="30" customHeight="1" thickBot="1">
      <c r="B44" s="5">
        <v>1</v>
      </c>
      <c r="C44" s="103" t="str">
        <f ca="1">IF(ISBLANK(INDIRECT(ADDRESS(B44*2+2,3))),"",INDIRECT(ADDRESS(B44*2+2,3)))</f>
        <v>Лукин Сергей</v>
      </c>
      <c r="D44" s="103"/>
      <c r="E44" s="104"/>
      <c r="F44" s="26">
        <v>13</v>
      </c>
      <c r="G44" s="27">
        <v>11</v>
      </c>
      <c r="H44" s="105" t="str">
        <f ca="1">IF(ISBLANK(INDIRECT(ADDRESS(K44*2+2,3))),"",INDIRECT(ADDRESS(K44*2+2,3)))</f>
        <v>Данилов Максим</v>
      </c>
      <c r="I44" s="103"/>
      <c r="J44" s="103"/>
      <c r="K44" s="5">
        <v>4</v>
      </c>
      <c r="L44" s="36" t="s">
        <v>11</v>
      </c>
      <c r="M44" s="37">
        <v>4</v>
      </c>
    </row>
    <row r="45" spans="2:13" customFormat="1" ht="30" customHeight="1" thickBot="1">
      <c r="B45" s="5">
        <v>2</v>
      </c>
      <c r="C45" s="103" t="str">
        <f ca="1">IF(ISBLANK(INDIRECT(ADDRESS(B45*2+2,3))),"",INDIRECT(ADDRESS(B45*2+2,3)))</f>
        <v>Мороз Алексей</v>
      </c>
      <c r="D45" s="103"/>
      <c r="E45" s="104"/>
      <c r="F45" s="26">
        <v>13</v>
      </c>
      <c r="G45" s="27">
        <v>6</v>
      </c>
      <c r="H45" s="105" t="str">
        <f ca="1">IF(ISBLANK(INDIRECT(ADDRESS(K45*2+2,3))),"",INDIRECT(ADDRESS(K45*2+2,3)))</f>
        <v>Майсов Антон</v>
      </c>
      <c r="I45" s="103"/>
      <c r="J45" s="103"/>
      <c r="K45" s="5">
        <v>3</v>
      </c>
      <c r="L45" s="36" t="s">
        <v>11</v>
      </c>
      <c r="M45" s="37">
        <v>1</v>
      </c>
    </row>
    <row r="46" spans="2:13" customFormat="1" ht="30" customHeight="1">
      <c r="M46" s="39"/>
    </row>
    <row r="47" spans="2:13" customFormat="1" ht="30" customHeight="1" thickBot="1">
      <c r="B47" s="106" t="s">
        <v>9</v>
      </c>
      <c r="C47" s="106"/>
      <c r="D47" s="106"/>
      <c r="E47" s="106"/>
      <c r="F47" s="106"/>
      <c r="G47" s="106"/>
      <c r="H47" s="106"/>
      <c r="I47" s="106"/>
      <c r="J47" s="106"/>
      <c r="K47" s="106"/>
      <c r="M47" s="39"/>
    </row>
    <row r="48" spans="2:13" customFormat="1" ht="30" customHeight="1" thickBot="1">
      <c r="B48" s="5">
        <v>3</v>
      </c>
      <c r="C48" s="103" t="str">
        <f ca="1">IF(ISBLANK(INDIRECT(ADDRESS(B48*2+2,3))),"",INDIRECT(ADDRESS(B48*2+2,3)))</f>
        <v>Майсов Антон</v>
      </c>
      <c r="D48" s="103"/>
      <c r="E48" s="104"/>
      <c r="F48" s="26">
        <v>13</v>
      </c>
      <c r="G48" s="27">
        <v>7</v>
      </c>
      <c r="H48" s="105" t="str">
        <f ca="1">IF(ISBLANK(INDIRECT(ADDRESS(K48*2+2,3))),"",INDIRECT(ADDRESS(K48*2+2,3)))</f>
        <v>Плаксин Алексей</v>
      </c>
      <c r="I48" s="103"/>
      <c r="J48" s="103"/>
      <c r="K48" s="5">
        <v>8</v>
      </c>
      <c r="L48" s="36" t="s">
        <v>11</v>
      </c>
      <c r="M48" s="37">
        <v>4</v>
      </c>
    </row>
    <row r="49" spans="2:13" customFormat="1" ht="30" customHeight="1" thickBot="1">
      <c r="B49" s="5">
        <v>4</v>
      </c>
      <c r="C49" s="103" t="str">
        <f ca="1">IF(ISBLANK(INDIRECT(ADDRESS(B49*2+2,3))),"",INDIRECT(ADDRESS(B49*2+2,3)))</f>
        <v>Данилов Максим</v>
      </c>
      <c r="D49" s="103"/>
      <c r="E49" s="104"/>
      <c r="F49" s="26">
        <v>13</v>
      </c>
      <c r="G49" s="27">
        <v>7</v>
      </c>
      <c r="H49" s="105" t="str">
        <f ca="1">IF(ISBLANK(INDIRECT(ADDRESS(K49*2+2,3))),"",INDIRECT(ADDRESS(K49*2+2,3)))</f>
        <v>Мороз Алексей</v>
      </c>
      <c r="I49" s="103"/>
      <c r="J49" s="103"/>
      <c r="K49" s="5">
        <v>2</v>
      </c>
      <c r="L49" s="36" t="s">
        <v>11</v>
      </c>
      <c r="M49" s="37">
        <v>2</v>
      </c>
    </row>
    <row r="50" spans="2:13" customFormat="1" ht="30" customHeight="1" thickBot="1">
      <c r="B50" s="5">
        <v>5</v>
      </c>
      <c r="C50" s="103" t="str">
        <f ca="1">IF(ISBLANK(INDIRECT(ADDRESS(B50*2+2,3))),"",INDIRECT(ADDRESS(B50*2+2,3)))</f>
        <v>Сурнин Константин</v>
      </c>
      <c r="D50" s="103"/>
      <c r="E50" s="104"/>
      <c r="F50" s="26">
        <v>5</v>
      </c>
      <c r="G50" s="27">
        <v>13</v>
      </c>
      <c r="H50" s="105" t="str">
        <f ca="1">IF(ISBLANK(INDIRECT(ADDRESS(K50*2+2,3))),"",INDIRECT(ADDRESS(K50*2+2,3)))</f>
        <v>Лукин Сергей</v>
      </c>
      <c r="I50" s="103"/>
      <c r="J50" s="103"/>
      <c r="K50" s="5">
        <v>1</v>
      </c>
      <c r="L50" s="36" t="s">
        <v>11</v>
      </c>
      <c r="M50" s="37">
        <v>1</v>
      </c>
    </row>
    <row r="51" spans="2:13" customFormat="1" ht="30" customHeight="1" thickBot="1">
      <c r="B51" s="5">
        <v>6</v>
      </c>
      <c r="C51" s="103" t="str">
        <f ca="1">IF(ISBLANK(INDIRECT(ADDRESS(B51*2+2,3))),"",INDIRECT(ADDRESS(B51*2+2,3)))</f>
        <v>Базарев Дмитрий</v>
      </c>
      <c r="D51" s="103"/>
      <c r="E51" s="104"/>
      <c r="F51" s="26">
        <v>13</v>
      </c>
      <c r="G51" s="27">
        <v>9</v>
      </c>
      <c r="H51" s="105" t="str">
        <f ca="1">IF(ISBLANK(INDIRECT(ADDRESS(K51*2+2,3))),"",INDIRECT(ADDRESS(K51*2+2,3)))</f>
        <v>Андреев Андрей</v>
      </c>
      <c r="I51" s="103"/>
      <c r="J51" s="103"/>
      <c r="K51" s="5">
        <v>7</v>
      </c>
      <c r="L51" s="36" t="s">
        <v>11</v>
      </c>
      <c r="M51" s="37">
        <v>3</v>
      </c>
    </row>
    <row r="52" spans="2:13" customFormat="1" ht="30" customHeight="1">
      <c r="M52" s="39"/>
    </row>
    <row r="53" spans="2:13" customFormat="1" ht="30" customHeight="1" thickBot="1">
      <c r="B53" s="106" t="s">
        <v>12</v>
      </c>
      <c r="C53" s="106"/>
      <c r="D53" s="106"/>
      <c r="E53" s="106"/>
      <c r="F53" s="106"/>
      <c r="G53" s="106"/>
      <c r="H53" s="106"/>
      <c r="I53" s="106"/>
      <c r="J53" s="106"/>
      <c r="K53" s="106"/>
      <c r="M53" s="39"/>
    </row>
    <row r="54" spans="2:13" customFormat="1" ht="30" customHeight="1" thickBot="1">
      <c r="B54" s="5">
        <v>8</v>
      </c>
      <c r="C54" s="103" t="str">
        <f ca="1">IF(ISBLANK(INDIRECT(ADDRESS(B54*2+2,3))),"",INDIRECT(ADDRESS(B54*2+2,3)))</f>
        <v>Плаксин Алексей</v>
      </c>
      <c r="D54" s="103"/>
      <c r="E54" s="104"/>
      <c r="F54" s="26">
        <v>13</v>
      </c>
      <c r="G54" s="27">
        <v>5</v>
      </c>
      <c r="H54" s="105" t="str">
        <f ca="1">IF(ISBLANK(INDIRECT(ADDRESS(K54*2+2,3))),"",INDIRECT(ADDRESS(K54*2+2,3)))</f>
        <v>Андреев Андрей</v>
      </c>
      <c r="I54" s="103"/>
      <c r="J54" s="103"/>
      <c r="K54" s="5">
        <v>7</v>
      </c>
      <c r="L54" s="36" t="s">
        <v>11</v>
      </c>
      <c r="M54" s="37">
        <v>1</v>
      </c>
    </row>
    <row r="55" spans="2:13" customFormat="1" ht="30" customHeight="1" thickBot="1">
      <c r="B55" s="5">
        <v>1</v>
      </c>
      <c r="C55" s="103" t="str">
        <f ca="1">IF(ISBLANK(INDIRECT(ADDRESS(B55*2+2,3))),"",INDIRECT(ADDRESS(B55*2+2,3)))</f>
        <v>Лукин Сергей</v>
      </c>
      <c r="D55" s="103"/>
      <c r="E55" s="104"/>
      <c r="F55" s="26">
        <v>10</v>
      </c>
      <c r="G55" s="27">
        <v>13</v>
      </c>
      <c r="H55" s="105" t="str">
        <f ca="1">IF(ISBLANK(INDIRECT(ADDRESS(K55*2+2,3))),"",INDIRECT(ADDRESS(K55*2+2,3)))</f>
        <v>Базарев Дмитрий</v>
      </c>
      <c r="I55" s="103"/>
      <c r="J55" s="103"/>
      <c r="K55" s="5">
        <v>6</v>
      </c>
      <c r="L55" s="36" t="s">
        <v>11</v>
      </c>
      <c r="M55" s="37">
        <v>4</v>
      </c>
    </row>
    <row r="56" spans="2:13" customFormat="1" ht="30" customHeight="1" thickBot="1">
      <c r="B56" s="5">
        <v>2</v>
      </c>
      <c r="C56" s="103" t="str">
        <f ca="1">IF(ISBLANK(INDIRECT(ADDRESS(B56*2+2,3))),"",INDIRECT(ADDRESS(B56*2+2,3)))</f>
        <v>Мороз Алексей</v>
      </c>
      <c r="D56" s="103"/>
      <c r="E56" s="104"/>
      <c r="F56" s="26">
        <v>7</v>
      </c>
      <c r="G56" s="27">
        <v>13</v>
      </c>
      <c r="H56" s="105" t="str">
        <f ca="1">IF(ISBLANK(INDIRECT(ADDRESS(K56*2+2,3))),"",INDIRECT(ADDRESS(K56*2+2,3)))</f>
        <v>Сурнин Константин</v>
      </c>
      <c r="I56" s="103"/>
      <c r="J56" s="103"/>
      <c r="K56" s="5">
        <v>5</v>
      </c>
      <c r="L56" s="36" t="s">
        <v>11</v>
      </c>
      <c r="M56" s="37">
        <v>3</v>
      </c>
    </row>
    <row r="57" spans="2:13" customFormat="1" ht="30" customHeight="1" thickBot="1">
      <c r="B57" s="5">
        <v>3</v>
      </c>
      <c r="C57" s="103" t="str">
        <f ca="1">IF(ISBLANK(INDIRECT(ADDRESS(B57*2+2,3))),"",INDIRECT(ADDRESS(B57*2+2,3)))</f>
        <v>Майсов Антон</v>
      </c>
      <c r="D57" s="103"/>
      <c r="E57" s="104"/>
      <c r="F57" s="26">
        <v>13</v>
      </c>
      <c r="G57" s="27">
        <v>4</v>
      </c>
      <c r="H57" s="105" t="str">
        <f ca="1">IF(ISBLANK(INDIRECT(ADDRESS(K57*2+2,3))),"",INDIRECT(ADDRESS(K57*2+2,3)))</f>
        <v>Данилов Максим</v>
      </c>
      <c r="I57" s="103"/>
      <c r="J57" s="103"/>
      <c r="K57" s="5">
        <v>4</v>
      </c>
      <c r="L57" s="36" t="s">
        <v>11</v>
      </c>
      <c r="M57" s="37">
        <v>2</v>
      </c>
    </row>
    <row r="58" spans="2:13" customFormat="1" ht="30" customHeight="1">
      <c r="M58" s="39"/>
    </row>
    <row r="59" spans="2:13" customFormat="1" ht="30" customHeight="1" thickBot="1">
      <c r="B59" s="106" t="s">
        <v>13</v>
      </c>
      <c r="C59" s="106"/>
      <c r="D59" s="106"/>
      <c r="E59" s="106"/>
      <c r="F59" s="106"/>
      <c r="G59" s="106"/>
      <c r="H59" s="106"/>
      <c r="I59" s="106"/>
      <c r="J59" s="106"/>
      <c r="K59" s="106"/>
      <c r="M59" s="39"/>
    </row>
    <row r="60" spans="2:13" customFormat="1" ht="30" customHeight="1" thickBot="1">
      <c r="B60" s="5">
        <v>4</v>
      </c>
      <c r="C60" s="103" t="str">
        <f ca="1">IF(ISBLANK(INDIRECT(ADDRESS(B60*2+2,3))),"",INDIRECT(ADDRESS(B60*2+2,3)))</f>
        <v>Данилов Максим</v>
      </c>
      <c r="D60" s="103"/>
      <c r="E60" s="104"/>
      <c r="F60" s="26">
        <v>3</v>
      </c>
      <c r="G60" s="27">
        <v>13</v>
      </c>
      <c r="H60" s="105" t="str">
        <f ca="1">IF(ISBLANK(INDIRECT(ADDRESS(K60*2+2,3))),"",INDIRECT(ADDRESS(K60*2+2,3)))</f>
        <v>Плаксин Алексей</v>
      </c>
      <c r="I60" s="103"/>
      <c r="J60" s="103"/>
      <c r="K60" s="5">
        <v>8</v>
      </c>
      <c r="L60" s="36" t="s">
        <v>11</v>
      </c>
      <c r="M60" s="37">
        <v>3</v>
      </c>
    </row>
    <row r="61" spans="2:13" customFormat="1" ht="30" customHeight="1" thickBot="1">
      <c r="B61" s="5">
        <v>5</v>
      </c>
      <c r="C61" s="103" t="str">
        <f ca="1">IF(ISBLANK(INDIRECT(ADDRESS(B61*2+2,3))),"",INDIRECT(ADDRESS(B61*2+2,3)))</f>
        <v>Сурнин Константин</v>
      </c>
      <c r="D61" s="103"/>
      <c r="E61" s="104"/>
      <c r="F61" s="26">
        <v>11</v>
      </c>
      <c r="G61" s="27">
        <v>6</v>
      </c>
      <c r="H61" s="105" t="str">
        <f ca="1">IF(ISBLANK(INDIRECT(ADDRESS(K61*2+2,3))),"",INDIRECT(ADDRESS(K61*2+2,3)))</f>
        <v>Майсов Антон</v>
      </c>
      <c r="I61" s="103"/>
      <c r="J61" s="103"/>
      <c r="K61" s="5">
        <v>3</v>
      </c>
      <c r="L61" s="36" t="s">
        <v>11</v>
      </c>
      <c r="M61" s="37">
        <v>1</v>
      </c>
    </row>
    <row r="62" spans="2:13" customFormat="1" ht="30" customHeight="1" thickBot="1">
      <c r="B62" s="5">
        <v>6</v>
      </c>
      <c r="C62" s="103" t="str">
        <f ca="1">IF(ISBLANK(INDIRECT(ADDRESS(B62*2+2,3))),"",INDIRECT(ADDRESS(B62*2+2,3)))</f>
        <v>Базарев Дмитрий</v>
      </c>
      <c r="D62" s="103"/>
      <c r="E62" s="104"/>
      <c r="F62" s="26">
        <v>13</v>
      </c>
      <c r="G62" s="27">
        <v>7</v>
      </c>
      <c r="H62" s="105" t="str">
        <f ca="1">IF(ISBLANK(INDIRECT(ADDRESS(K62*2+2,3))),"",INDIRECT(ADDRESS(K62*2+2,3)))</f>
        <v>Мороз Алексей</v>
      </c>
      <c r="I62" s="103"/>
      <c r="J62" s="103"/>
      <c r="K62" s="5">
        <v>2</v>
      </c>
      <c r="L62" s="36" t="s">
        <v>11</v>
      </c>
      <c r="M62" s="37">
        <v>4</v>
      </c>
    </row>
    <row r="63" spans="2:13" customFormat="1" ht="30" customHeight="1" thickBot="1">
      <c r="B63" s="5">
        <v>7</v>
      </c>
      <c r="C63" s="103" t="str">
        <f ca="1">IF(ISBLANK(INDIRECT(ADDRESS(B63*2+2,3))),"",INDIRECT(ADDRESS(B63*2+2,3)))</f>
        <v>Андреев Андрей</v>
      </c>
      <c r="D63" s="103"/>
      <c r="E63" s="104"/>
      <c r="F63" s="26">
        <v>11</v>
      </c>
      <c r="G63" s="27">
        <v>13</v>
      </c>
      <c r="H63" s="105" t="str">
        <f ca="1">IF(ISBLANK(INDIRECT(ADDRESS(K63*2+2,3))),"",INDIRECT(ADDRESS(K63*2+2,3)))</f>
        <v>Лукин Сергей</v>
      </c>
      <c r="I63" s="103"/>
      <c r="J63" s="103"/>
      <c r="K63" s="5">
        <v>1</v>
      </c>
      <c r="L63" s="36" t="s">
        <v>11</v>
      </c>
      <c r="M63" s="37">
        <v>2</v>
      </c>
    </row>
    <row r="66" spans="2:9" ht="21">
      <c r="B66" s="90" t="s">
        <v>99</v>
      </c>
      <c r="C66" s="90"/>
      <c r="D66" s="90"/>
      <c r="E66" s="29"/>
      <c r="F66" s="29"/>
      <c r="G66" s="29"/>
      <c r="H66" s="29"/>
      <c r="I66" s="29"/>
    </row>
    <row r="67" spans="2:9" ht="21">
      <c r="B67" s="90"/>
      <c r="C67" s="90"/>
      <c r="D67" s="90"/>
      <c r="E67" s="29"/>
      <c r="F67" s="29"/>
      <c r="G67" s="29"/>
      <c r="H67" s="29"/>
      <c r="I67" s="29"/>
    </row>
    <row r="68" spans="2:9" ht="21">
      <c r="B68" s="90"/>
      <c r="C68" s="90"/>
      <c r="D68" s="90"/>
      <c r="E68" s="29"/>
      <c r="F68" s="29"/>
      <c r="G68" s="29"/>
      <c r="H68" s="29"/>
      <c r="I68" s="29"/>
    </row>
    <row r="69" spans="2:9" ht="21">
      <c r="B69" s="90" t="s">
        <v>130</v>
      </c>
      <c r="C69" s="90"/>
      <c r="D69" s="90"/>
      <c r="E69" s="29"/>
      <c r="F69" s="29"/>
      <c r="G69" s="29"/>
      <c r="H69" s="29"/>
      <c r="I69" s="29"/>
    </row>
  </sheetData>
  <sheetCalcPr fullCalcOnLoad="1"/>
  <mergeCells count="97">
    <mergeCell ref="B1:P1"/>
    <mergeCell ref="P4:P5"/>
    <mergeCell ref="C3:E3"/>
    <mergeCell ref="B4:B5"/>
    <mergeCell ref="C4:E5"/>
    <mergeCell ref="N4:N5"/>
    <mergeCell ref="B6:B7"/>
    <mergeCell ref="C6:E7"/>
    <mergeCell ref="N6:N7"/>
    <mergeCell ref="P6:P7"/>
    <mergeCell ref="B8:B9"/>
    <mergeCell ref="C8:E9"/>
    <mergeCell ref="N8:N9"/>
    <mergeCell ref="P8:P9"/>
    <mergeCell ref="B10:B11"/>
    <mergeCell ref="C10:E11"/>
    <mergeCell ref="N10:N11"/>
    <mergeCell ref="P10:P11"/>
    <mergeCell ref="B12:B13"/>
    <mergeCell ref="C12:E13"/>
    <mergeCell ref="N12:N13"/>
    <mergeCell ref="P12:P13"/>
    <mergeCell ref="N14:N15"/>
    <mergeCell ref="P14:P15"/>
    <mergeCell ref="B16:B17"/>
    <mergeCell ref="C16:E17"/>
    <mergeCell ref="N16:N17"/>
    <mergeCell ref="P16:P17"/>
    <mergeCell ref="B14:B15"/>
    <mergeCell ref="C14:E15"/>
    <mergeCell ref="C27:E27"/>
    <mergeCell ref="H27:J27"/>
    <mergeCell ref="B23:K23"/>
    <mergeCell ref="C24:E24"/>
    <mergeCell ref="B18:B19"/>
    <mergeCell ref="C18:E19"/>
    <mergeCell ref="H26:J26"/>
    <mergeCell ref="N18:N19"/>
    <mergeCell ref="H24:J24"/>
    <mergeCell ref="C25:E25"/>
    <mergeCell ref="H25:J25"/>
    <mergeCell ref="C26:E26"/>
    <mergeCell ref="P18:P19"/>
    <mergeCell ref="C51:E51"/>
    <mergeCell ref="H51:J51"/>
    <mergeCell ref="C38:E38"/>
    <mergeCell ref="H38:J38"/>
    <mergeCell ref="C44:E44"/>
    <mergeCell ref="C49:E49"/>
    <mergeCell ref="H48:J48"/>
    <mergeCell ref="H44:J44"/>
    <mergeCell ref="B47:K47"/>
    <mergeCell ref="C45:E45"/>
    <mergeCell ref="B29:K29"/>
    <mergeCell ref="B41:K41"/>
    <mergeCell ref="C42:E42"/>
    <mergeCell ref="H42:J42"/>
    <mergeCell ref="C30:E30"/>
    <mergeCell ref="H30:J30"/>
    <mergeCell ref="C31:E31"/>
    <mergeCell ref="C39:E39"/>
    <mergeCell ref="H31:J31"/>
    <mergeCell ref="B35:K35"/>
    <mergeCell ref="C36:E36"/>
    <mergeCell ref="C32:E32"/>
    <mergeCell ref="H32:J32"/>
    <mergeCell ref="C33:E33"/>
    <mergeCell ref="H45:J45"/>
    <mergeCell ref="H33:J33"/>
    <mergeCell ref="C54:E54"/>
    <mergeCell ref="H54:J54"/>
    <mergeCell ref="H36:J36"/>
    <mergeCell ref="C37:E37"/>
    <mergeCell ref="H37:J37"/>
    <mergeCell ref="H49:J49"/>
    <mergeCell ref="C50:E50"/>
    <mergeCell ref="H50:J50"/>
    <mergeCell ref="C48:E48"/>
    <mergeCell ref="H39:J39"/>
    <mergeCell ref="C43:E43"/>
    <mergeCell ref="H43:J43"/>
    <mergeCell ref="B59:K59"/>
    <mergeCell ref="C55:E55"/>
    <mergeCell ref="H55:J55"/>
    <mergeCell ref="C57:E57"/>
    <mergeCell ref="H57:J57"/>
    <mergeCell ref="C56:E56"/>
    <mergeCell ref="H56:J56"/>
    <mergeCell ref="B53:K53"/>
    <mergeCell ref="C63:E63"/>
    <mergeCell ref="H63:J63"/>
    <mergeCell ref="C60:E60"/>
    <mergeCell ref="H60:J60"/>
    <mergeCell ref="C61:E61"/>
    <mergeCell ref="H61:J61"/>
    <mergeCell ref="C62:E62"/>
    <mergeCell ref="H62:J62"/>
  </mergeCells>
  <phoneticPr fontId="10" type="noConversion"/>
  <printOptions horizontalCentered="1"/>
  <pageMargins left="0.31496062992125984" right="0.31496062992125984" top="0.35433070866141736" bottom="0.55118110236220474" header="0.31496062992125984" footer="0.31496062992125984"/>
  <pageSetup paperSize="9" scale="45" orientation="portrait" horizontalDpi="4294967293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1"/>
  <sheetViews>
    <sheetView workbookViewId="0">
      <selection activeCell="L25" sqref="L25"/>
    </sheetView>
  </sheetViews>
  <sheetFormatPr defaultRowHeight="15"/>
  <cols>
    <col min="1" max="1" width="4" style="30" customWidth="1"/>
    <col min="2" max="4" width="10.28515625" customWidth="1"/>
    <col min="5" max="5" width="14.7109375" customWidth="1"/>
    <col min="6" max="9" width="10.28515625" customWidth="1"/>
    <col min="10" max="10" width="13.85546875" customWidth="1"/>
    <col min="11" max="12" width="10.28515625" customWidth="1"/>
    <col min="13" max="13" width="10.28515625" style="38" customWidth="1"/>
    <col min="14" max="15" width="10.28515625" customWidth="1"/>
  </cols>
  <sheetData>
    <row r="1" spans="1:13" ht="40.5" customHeight="1">
      <c r="B1" s="147" t="s">
        <v>67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3" ht="15.75" thickBot="1"/>
    <row r="3" spans="1:13" ht="30" customHeight="1" thickBot="1">
      <c r="B3" s="25"/>
      <c r="C3" s="132" t="s">
        <v>0</v>
      </c>
      <c r="D3" s="133"/>
      <c r="E3" s="134"/>
      <c r="F3" s="1">
        <v>1</v>
      </c>
      <c r="G3" s="1">
        <v>2</v>
      </c>
      <c r="H3" s="2">
        <v>3</v>
      </c>
      <c r="I3" s="2">
        <v>4</v>
      </c>
      <c r="J3" s="25" t="s">
        <v>1</v>
      </c>
      <c r="K3" s="1" t="s">
        <v>3</v>
      </c>
      <c r="L3" s="22" t="s">
        <v>2</v>
      </c>
    </row>
    <row r="4" spans="1:13" ht="24" customHeight="1">
      <c r="B4" s="135">
        <v>1</v>
      </c>
      <c r="C4" s="136" t="s">
        <v>73</v>
      </c>
      <c r="D4" s="137"/>
      <c r="E4" s="138"/>
      <c r="F4" s="10" t="s">
        <v>7</v>
      </c>
      <c r="G4" s="6" t="str">
        <f ca="1">INDIRECT(ADDRESS(21,6))&amp;":"&amp;INDIRECT(ADDRESS(21,7))</f>
        <v>10:9</v>
      </c>
      <c r="H4" s="6" t="str">
        <f ca="1">INDIRECT(ADDRESS(25,7))&amp;":"&amp;INDIRECT(ADDRESS(25,6))</f>
        <v>4:7</v>
      </c>
      <c r="I4" s="21" t="str">
        <f ca="1">INDIRECT(ADDRESS(16,6))&amp;":"&amp;INDIRECT(ADDRESS(16,7))</f>
        <v>13:3</v>
      </c>
      <c r="J4" s="163">
        <f ca="1">IF(COUNT(F5:I5)=0,"",COUNTIF(F5:I5,"&gt;0")+0.5*COUNTIF(F5:I5,0))</f>
        <v>2</v>
      </c>
      <c r="K4" s="24"/>
      <c r="L4" s="164"/>
    </row>
    <row r="5" spans="1:13" ht="24" customHeight="1">
      <c r="B5" s="129"/>
      <c r="C5" s="113"/>
      <c r="D5" s="114"/>
      <c r="E5" s="115"/>
      <c r="F5" s="14" t="s">
        <v>7</v>
      </c>
      <c r="G5" s="17">
        <f ca="1">IF(LEN(INDIRECT(ADDRESS(ROW()-1, COLUMN())))=1,"",INDIRECT(ADDRESS(21,6))-INDIRECT(ADDRESS(21,7)))</f>
        <v>1</v>
      </c>
      <c r="H5" s="17">
        <f ca="1">IF(LEN(INDIRECT(ADDRESS(ROW()-1, COLUMN())))=1,"",INDIRECT(ADDRESS(25,7))-INDIRECT(ADDRESS(25,6)))</f>
        <v>-3</v>
      </c>
      <c r="I5" s="18">
        <f ca="1">IF(LEN(INDIRECT(ADDRESS(ROW()-1, COLUMN())))=1,"",INDIRECT(ADDRESS(16,6))-INDIRECT(ADDRESS(16,7)))</f>
        <v>10</v>
      </c>
      <c r="J5" s="107"/>
      <c r="K5" s="17">
        <f ca="1">IF(COUNT(F5:I5)=0,"",SUM(F5:I5))</f>
        <v>8</v>
      </c>
      <c r="L5" s="155"/>
    </row>
    <row r="6" spans="1:13" ht="24" customHeight="1">
      <c r="B6" s="111">
        <v>2</v>
      </c>
      <c r="C6" s="113" t="s">
        <v>74</v>
      </c>
      <c r="D6" s="114"/>
      <c r="E6" s="115"/>
      <c r="F6" s="12" t="str">
        <f ca="1">INDIRECT(ADDRESS(21,7))&amp;":"&amp;INDIRECT(ADDRESS(21,6))</f>
        <v>9:10</v>
      </c>
      <c r="G6" s="8" t="s">
        <v>7</v>
      </c>
      <c r="H6" s="7" t="str">
        <f ca="1">INDIRECT(ADDRESS(17,6))&amp;":"&amp;INDIRECT(ADDRESS(17,7))</f>
        <v>3:11</v>
      </c>
      <c r="I6" s="11" t="str">
        <f ca="1">INDIRECT(ADDRESS(24,6))&amp;":"&amp;INDIRECT(ADDRESS(24,7))</f>
        <v>8:7</v>
      </c>
      <c r="J6" s="107">
        <f ca="1">IF(COUNT(F7:I7)=0,"",COUNTIF(F7:I7,"&gt;0")+0.5*COUNTIF(F7:I7,0))</f>
        <v>1</v>
      </c>
      <c r="K6" s="17"/>
      <c r="L6" s="155"/>
    </row>
    <row r="7" spans="1:13" ht="24" customHeight="1">
      <c r="B7" s="129"/>
      <c r="C7" s="113"/>
      <c r="D7" s="114"/>
      <c r="E7" s="115"/>
      <c r="F7" s="23">
        <f ca="1">IF(LEN(INDIRECT(ADDRESS(ROW()-1, COLUMN())))=1,"",INDIRECT(ADDRESS(21,7))-INDIRECT(ADDRESS(21,6)))</f>
        <v>-1</v>
      </c>
      <c r="G7" s="15" t="s">
        <v>7</v>
      </c>
      <c r="H7" s="17">
        <f ca="1">IF(LEN(INDIRECT(ADDRESS(ROW()-1, COLUMN())))=1,"",INDIRECT(ADDRESS(17,6))-INDIRECT(ADDRESS(17,7)))</f>
        <v>-8</v>
      </c>
      <c r="I7" s="18">
        <f ca="1">IF(LEN(INDIRECT(ADDRESS(ROW()-1, COLUMN())))=1,"",INDIRECT(ADDRESS(24,6))-INDIRECT(ADDRESS(24,7)))</f>
        <v>1</v>
      </c>
      <c r="J7" s="107"/>
      <c r="K7" s="17">
        <f ca="1">IF(COUNT(F7:I7)=0,"",SUM(F7:I7))</f>
        <v>-8</v>
      </c>
      <c r="L7" s="155"/>
    </row>
    <row r="8" spans="1:13" ht="24" customHeight="1">
      <c r="B8" s="111">
        <v>3</v>
      </c>
      <c r="C8" s="113" t="s">
        <v>75</v>
      </c>
      <c r="D8" s="114"/>
      <c r="E8" s="115"/>
      <c r="F8" s="12" t="str">
        <f ca="1">INDIRECT(ADDRESS(25,6))&amp;":"&amp;INDIRECT(ADDRESS(25,7))</f>
        <v>7:4</v>
      </c>
      <c r="G8" s="7" t="str">
        <f ca="1">INDIRECT(ADDRESS(17,7))&amp;":"&amp;INDIRECT(ADDRESS(17,6))</f>
        <v>11:3</v>
      </c>
      <c r="H8" s="8" t="s">
        <v>7</v>
      </c>
      <c r="I8" s="11" t="str">
        <f ca="1">INDIRECT(ADDRESS(20,7))&amp;":"&amp;INDIRECT(ADDRESS(20,6))</f>
        <v>9:8</v>
      </c>
      <c r="J8" s="107">
        <f ca="1">IF(COUNT(F9:I9)=0,"",COUNTIF(F9:I9,"&gt;0")+0.5*COUNTIF(F9:I9,0))</f>
        <v>3</v>
      </c>
      <c r="K8" s="17"/>
      <c r="L8" s="155"/>
    </row>
    <row r="9" spans="1:13" ht="24" customHeight="1">
      <c r="B9" s="129"/>
      <c r="C9" s="113"/>
      <c r="D9" s="114"/>
      <c r="E9" s="115"/>
      <c r="F9" s="23">
        <f ca="1">IF(LEN(INDIRECT(ADDRESS(ROW()-1, COLUMN())))=1,"",INDIRECT(ADDRESS(25,6))-INDIRECT(ADDRESS(25,7)))</f>
        <v>3</v>
      </c>
      <c r="G9" s="17">
        <f ca="1">IF(LEN(INDIRECT(ADDRESS(ROW()-1, COLUMN())))=1,"",INDIRECT(ADDRESS(17,7))-INDIRECT(ADDRESS(17,6)))</f>
        <v>8</v>
      </c>
      <c r="H9" s="15" t="s">
        <v>7</v>
      </c>
      <c r="I9" s="18">
        <f ca="1">IF(LEN(INDIRECT(ADDRESS(ROW()-1, COLUMN())))=1,"",INDIRECT(ADDRESS(20,7))-INDIRECT(ADDRESS(20,6)))</f>
        <v>1</v>
      </c>
      <c r="J9" s="107"/>
      <c r="K9" s="17">
        <f ca="1">IF(COUNT(F9:I9)=0,"",SUM(F9:I9))</f>
        <v>12</v>
      </c>
      <c r="L9" s="155"/>
    </row>
    <row r="10" spans="1:13" ht="24" customHeight="1">
      <c r="B10" s="111">
        <v>4</v>
      </c>
      <c r="C10" s="113" t="s">
        <v>76</v>
      </c>
      <c r="D10" s="114"/>
      <c r="E10" s="115"/>
      <c r="F10" s="12" t="str">
        <f ca="1">INDIRECT(ADDRESS(16,7))&amp;":"&amp;INDIRECT(ADDRESS(16,6))</f>
        <v>3:13</v>
      </c>
      <c r="G10" s="7" t="str">
        <f ca="1">INDIRECT(ADDRESS(24,7))&amp;":"&amp;INDIRECT(ADDRESS(24,6))</f>
        <v>7:8</v>
      </c>
      <c r="H10" s="7" t="str">
        <f ca="1">INDIRECT(ADDRESS(20,6))&amp;":"&amp;INDIRECT(ADDRESS(20,7))</f>
        <v>8:9</v>
      </c>
      <c r="I10" s="13" t="s">
        <v>7</v>
      </c>
      <c r="J10" s="107">
        <f ca="1">IF(COUNT(F11:I11)=0,"",COUNTIF(F11:I11,"&gt;0")+0.5*COUNTIF(F11:I11,0))</f>
        <v>0</v>
      </c>
      <c r="K10" s="17"/>
      <c r="L10" s="155"/>
    </row>
    <row r="11" spans="1:13" ht="24" customHeight="1" thickBot="1">
      <c r="B11" s="112"/>
      <c r="C11" s="116"/>
      <c r="D11" s="117"/>
      <c r="E11" s="118"/>
      <c r="F11" s="20">
        <f ca="1">IF(LEN(INDIRECT(ADDRESS(ROW()-1, COLUMN())))=1,"",INDIRECT(ADDRESS(16,7))-INDIRECT(ADDRESS(16,6)))</f>
        <v>-10</v>
      </c>
      <c r="G11" s="19">
        <f ca="1">IF(LEN(INDIRECT(ADDRESS(ROW()-1, COLUMN())))=1,"",INDIRECT(ADDRESS(24,7))-INDIRECT(ADDRESS(24,6)))</f>
        <v>-1</v>
      </c>
      <c r="H11" s="19">
        <f ca="1">IF(LEN(INDIRECT(ADDRESS(ROW()-1, COLUMN())))=1,"",INDIRECT(ADDRESS(20,6))-INDIRECT(ADDRESS(20,7)))</f>
        <v>-1</v>
      </c>
      <c r="I11" s="16" t="s">
        <v>7</v>
      </c>
      <c r="J11" s="108"/>
      <c r="K11" s="19">
        <f ca="1">IF(COUNT(F11:I11)=0,"",SUM(F11:I11))</f>
        <v>-12</v>
      </c>
      <c r="L11" s="162"/>
    </row>
    <row r="15" spans="1:13" s="65" customFormat="1" ht="30" customHeight="1" thickBot="1">
      <c r="A15" s="64"/>
      <c r="B15" s="106" t="s">
        <v>4</v>
      </c>
      <c r="C15" s="106"/>
      <c r="D15" s="106"/>
      <c r="E15" s="106"/>
      <c r="F15" s="106"/>
      <c r="G15" s="106"/>
      <c r="H15" s="106"/>
      <c r="I15" s="106"/>
      <c r="J15" s="106"/>
      <c r="K15" s="106"/>
      <c r="M15" s="69"/>
    </row>
    <row r="16" spans="1:13" s="65" customFormat="1" ht="30" customHeight="1" thickBot="1">
      <c r="A16" s="64"/>
      <c r="B16" s="70">
        <v>1</v>
      </c>
      <c r="C16" s="142" t="str">
        <f ca="1">IF(ISBLANK(INDIRECT(ADDRESS(B16*2+2,3))),"",INDIRECT(ADDRESS(B16*2+2,3)))</f>
        <v>Татьянц, Мыльцева</v>
      </c>
      <c r="D16" s="142"/>
      <c r="E16" s="143"/>
      <c r="F16" s="66">
        <v>13</v>
      </c>
      <c r="G16" s="67">
        <v>3</v>
      </c>
      <c r="H16" s="144" t="str">
        <f ca="1">IF(ISBLANK(INDIRECT(ADDRESS(K16*2+2,3))),"",INDIRECT(ADDRESS(K16*2+2,3)))</f>
        <v>Попов А., Попова К.</v>
      </c>
      <c r="I16" s="142"/>
      <c r="J16" s="142"/>
      <c r="K16" s="70">
        <v>4</v>
      </c>
      <c r="L16" s="68" t="s">
        <v>133</v>
      </c>
      <c r="M16" s="71"/>
    </row>
    <row r="17" spans="1:13" s="65" customFormat="1" ht="30" customHeight="1" thickBot="1">
      <c r="A17" s="64"/>
      <c r="B17" s="70">
        <v>2</v>
      </c>
      <c r="C17" s="165" t="str">
        <f ca="1">IF(ISBLANK(INDIRECT(ADDRESS(B17*2+2,3))),"",INDIRECT(ADDRESS(B17*2+2,3)))</f>
        <v>Кананыхин В., Кананыхина С.</v>
      </c>
      <c r="D17" s="165"/>
      <c r="E17" s="166"/>
      <c r="F17" s="66">
        <v>3</v>
      </c>
      <c r="G17" s="67">
        <v>11</v>
      </c>
      <c r="H17" s="144" t="str">
        <f ca="1">IF(ISBLANK(INDIRECT(ADDRESS(K17*2+2,3))),"",INDIRECT(ADDRESS(K17*2+2,3)))</f>
        <v>Франк Нк., Франк Нд.</v>
      </c>
      <c r="I17" s="142"/>
      <c r="J17" s="142"/>
      <c r="K17" s="70">
        <v>3</v>
      </c>
      <c r="L17" s="68" t="s">
        <v>134</v>
      </c>
      <c r="M17" s="71"/>
    </row>
    <row r="18" spans="1:13" s="65" customFormat="1" ht="30" customHeight="1">
      <c r="A18" s="64"/>
      <c r="M18" s="71"/>
    </row>
    <row r="19" spans="1:13" s="65" customFormat="1" ht="30" customHeight="1" thickBot="1">
      <c r="A19" s="64"/>
      <c r="B19" s="106" t="s">
        <v>5</v>
      </c>
      <c r="C19" s="106"/>
      <c r="D19" s="106"/>
      <c r="E19" s="106"/>
      <c r="F19" s="106"/>
      <c r="G19" s="106"/>
      <c r="H19" s="106"/>
      <c r="I19" s="106"/>
      <c r="J19" s="106"/>
      <c r="K19" s="106"/>
      <c r="M19" s="71"/>
    </row>
    <row r="20" spans="1:13" s="65" customFormat="1" ht="30" customHeight="1" thickBot="1">
      <c r="A20" s="64"/>
      <c r="B20" s="70">
        <v>4</v>
      </c>
      <c r="C20" s="142" t="str">
        <f ca="1">IF(ISBLANK(INDIRECT(ADDRESS(B20*2+2,3))),"",INDIRECT(ADDRESS(B20*2+2,3)))</f>
        <v>Попов А., Попова К.</v>
      </c>
      <c r="D20" s="142"/>
      <c r="E20" s="143"/>
      <c r="F20" s="66">
        <v>8</v>
      </c>
      <c r="G20" s="67">
        <v>9</v>
      </c>
      <c r="H20" s="144" t="str">
        <f ca="1">IF(ISBLANK(INDIRECT(ADDRESS(K20*2+2,3))),"",INDIRECT(ADDRESS(K20*2+2,3)))</f>
        <v>Франк Нк., Франк Нд.</v>
      </c>
      <c r="I20" s="142"/>
      <c r="J20" s="142"/>
      <c r="K20" s="70">
        <v>3</v>
      </c>
      <c r="L20" s="68" t="s">
        <v>135</v>
      </c>
      <c r="M20" s="71"/>
    </row>
    <row r="21" spans="1:13" s="65" customFormat="1" ht="30" customHeight="1" thickBot="1">
      <c r="A21" s="64"/>
      <c r="B21" s="70">
        <v>1</v>
      </c>
      <c r="C21" s="142" t="str">
        <f ca="1">IF(ISBLANK(INDIRECT(ADDRESS(B21*2+2,3))),"",INDIRECT(ADDRESS(B21*2+2,3)))</f>
        <v>Татьянц, Мыльцева</v>
      </c>
      <c r="D21" s="142"/>
      <c r="E21" s="143"/>
      <c r="F21" s="66">
        <v>10</v>
      </c>
      <c r="G21" s="67">
        <v>9</v>
      </c>
      <c r="H21" s="167" t="str">
        <f ca="1">IF(ISBLANK(INDIRECT(ADDRESS(K21*2+2,3))),"",INDIRECT(ADDRESS(K21*2+2,3)))</f>
        <v>Кананыхин В., Кананыхина С.</v>
      </c>
      <c r="I21" s="165"/>
      <c r="J21" s="165"/>
      <c r="K21" s="70">
        <v>2</v>
      </c>
      <c r="L21" s="68" t="s">
        <v>136</v>
      </c>
      <c r="M21" s="71"/>
    </row>
    <row r="22" spans="1:13" s="65" customFormat="1" ht="30" customHeight="1">
      <c r="A22" s="64"/>
      <c r="M22" s="71"/>
    </row>
    <row r="23" spans="1:13" s="65" customFormat="1" ht="30" customHeight="1" thickBot="1">
      <c r="A23" s="64"/>
      <c r="B23" s="106" t="s">
        <v>6</v>
      </c>
      <c r="C23" s="106"/>
      <c r="D23" s="106"/>
      <c r="E23" s="106"/>
      <c r="F23" s="106"/>
      <c r="G23" s="106"/>
      <c r="H23" s="106"/>
      <c r="I23" s="106"/>
      <c r="J23" s="106"/>
      <c r="K23" s="106"/>
      <c r="M23" s="71"/>
    </row>
    <row r="24" spans="1:13" s="65" customFormat="1" ht="30" customHeight="1" thickBot="1">
      <c r="A24" s="64"/>
      <c r="B24" s="70">
        <v>2</v>
      </c>
      <c r="C24" s="165" t="str">
        <f ca="1">IF(ISBLANK(INDIRECT(ADDRESS(B24*2+2,3))),"",INDIRECT(ADDRESS(B24*2+2,3)))</f>
        <v>Кананыхин В., Кананыхина С.</v>
      </c>
      <c r="D24" s="165"/>
      <c r="E24" s="166"/>
      <c r="F24" s="66">
        <v>8</v>
      </c>
      <c r="G24" s="67">
        <v>7</v>
      </c>
      <c r="H24" s="144" t="str">
        <f ca="1">IF(ISBLANK(INDIRECT(ADDRESS(K24*2+2,3))),"",INDIRECT(ADDRESS(K24*2+2,3)))</f>
        <v>Попов А., Попова К.</v>
      </c>
      <c r="I24" s="142"/>
      <c r="J24" s="142"/>
      <c r="K24" s="70">
        <v>4</v>
      </c>
      <c r="L24" s="68" t="s">
        <v>137</v>
      </c>
      <c r="M24" s="71"/>
    </row>
    <row r="25" spans="1:13" s="65" customFormat="1" ht="30" customHeight="1" thickBot="1">
      <c r="A25" s="64"/>
      <c r="B25" s="70">
        <v>3</v>
      </c>
      <c r="C25" s="142" t="str">
        <f ca="1">IF(ISBLANK(INDIRECT(ADDRESS(B25*2+2,3))),"",INDIRECT(ADDRESS(B25*2+2,3)))</f>
        <v>Франк Нк., Франк Нд.</v>
      </c>
      <c r="D25" s="142"/>
      <c r="E25" s="143"/>
      <c r="F25" s="66">
        <v>7</v>
      </c>
      <c r="G25" s="67">
        <v>4</v>
      </c>
      <c r="H25" s="144" t="str">
        <f ca="1">IF(ISBLANK(INDIRECT(ADDRESS(K25*2+2,3))),"",INDIRECT(ADDRESS(K25*2+2,3)))</f>
        <v>Татьянц, Мыльцева</v>
      </c>
      <c r="I25" s="142"/>
      <c r="J25" s="142"/>
      <c r="K25" s="70">
        <v>1</v>
      </c>
      <c r="L25" s="68" t="s">
        <v>138</v>
      </c>
      <c r="M25" s="71"/>
    </row>
    <row r="28" spans="1:13" ht="21">
      <c r="B28" s="90" t="s">
        <v>99</v>
      </c>
      <c r="C28" s="90"/>
      <c r="D28" s="90"/>
      <c r="E28" s="29"/>
      <c r="F28" s="29"/>
      <c r="G28" s="29"/>
      <c r="H28" s="29"/>
      <c r="I28" s="29"/>
    </row>
    <row r="29" spans="1:13" ht="21">
      <c r="B29" s="90"/>
      <c r="C29" s="90"/>
      <c r="D29" s="90"/>
      <c r="E29" s="29"/>
      <c r="F29" s="29"/>
      <c r="G29" s="29"/>
      <c r="H29" s="29"/>
      <c r="I29" s="29"/>
    </row>
    <row r="30" spans="1:13" ht="21">
      <c r="B30" s="90"/>
      <c r="C30" s="90"/>
      <c r="D30" s="90"/>
      <c r="E30" s="29"/>
      <c r="F30" s="29"/>
      <c r="G30" s="29"/>
      <c r="H30" s="29"/>
      <c r="I30" s="29"/>
    </row>
    <row r="31" spans="1:13" ht="21">
      <c r="B31" s="90" t="s">
        <v>130</v>
      </c>
      <c r="C31" s="90"/>
      <c r="D31" s="90"/>
      <c r="E31" s="29"/>
      <c r="F31" s="29"/>
      <c r="G31" s="29"/>
      <c r="H31" s="29"/>
      <c r="I31" s="29"/>
    </row>
  </sheetData>
  <sheetCalcPr fullCalcOnLoad="1"/>
  <mergeCells count="33">
    <mergeCell ref="H24:J24"/>
    <mergeCell ref="C17:E17"/>
    <mergeCell ref="H17:J17"/>
    <mergeCell ref="C25:E25"/>
    <mergeCell ref="H25:J25"/>
    <mergeCell ref="C20:E20"/>
    <mergeCell ref="H20:J20"/>
    <mergeCell ref="C21:E21"/>
    <mergeCell ref="H21:J21"/>
    <mergeCell ref="B23:K23"/>
    <mergeCell ref="C24:E24"/>
    <mergeCell ref="B10:B11"/>
    <mergeCell ref="L6:L7"/>
    <mergeCell ref="B6:B7"/>
    <mergeCell ref="C6:E7"/>
    <mergeCell ref="J6:J7"/>
    <mergeCell ref="B19:K19"/>
    <mergeCell ref="B8:B9"/>
    <mergeCell ref="C8:E9"/>
    <mergeCell ref="J8:J9"/>
    <mergeCell ref="B15:K15"/>
    <mergeCell ref="L8:L9"/>
    <mergeCell ref="C10:E11"/>
    <mergeCell ref="J10:J11"/>
    <mergeCell ref="L10:L11"/>
    <mergeCell ref="C16:E16"/>
    <mergeCell ref="H16:J16"/>
    <mergeCell ref="B1:L1"/>
    <mergeCell ref="B4:B5"/>
    <mergeCell ref="C4:E5"/>
    <mergeCell ref="J4:J5"/>
    <mergeCell ref="L4:L5"/>
    <mergeCell ref="C3:E3"/>
  </mergeCells>
  <phoneticPr fontId="10" type="noConversion"/>
  <printOptions horizontalCentered="1"/>
  <pageMargins left="0.25" right="0.25" top="0.75" bottom="0.75" header="0.3" footer="0.3"/>
  <pageSetup paperSize="9" scale="79" orientation="portrait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1"/>
  <sheetViews>
    <sheetView topLeftCell="A7" workbookViewId="0">
      <selection activeCell="L28" sqref="L28"/>
    </sheetView>
  </sheetViews>
  <sheetFormatPr defaultRowHeight="15"/>
  <cols>
    <col min="1" max="1" width="4" style="30" customWidth="1"/>
    <col min="2" max="12" width="10.28515625" customWidth="1"/>
    <col min="13" max="13" width="10.28515625" style="38" customWidth="1"/>
    <col min="14" max="15" width="10.28515625" customWidth="1"/>
  </cols>
  <sheetData>
    <row r="1" spans="1:13" ht="40.5" customHeight="1">
      <c r="B1" s="147" t="s">
        <v>68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3" ht="15.75" thickBot="1"/>
    <row r="3" spans="1:13" ht="30" customHeight="1" thickBot="1">
      <c r="B3" s="25"/>
      <c r="C3" s="132" t="s">
        <v>0</v>
      </c>
      <c r="D3" s="133"/>
      <c r="E3" s="134"/>
      <c r="F3" s="1">
        <v>1</v>
      </c>
      <c r="G3" s="1">
        <v>2</v>
      </c>
      <c r="H3" s="2">
        <v>3</v>
      </c>
      <c r="I3" s="2">
        <v>4</v>
      </c>
      <c r="J3" s="25" t="s">
        <v>1</v>
      </c>
      <c r="K3" s="1" t="s">
        <v>3</v>
      </c>
      <c r="L3" s="22" t="s">
        <v>2</v>
      </c>
    </row>
    <row r="4" spans="1:13" ht="24" customHeight="1">
      <c r="B4" s="135">
        <v>1</v>
      </c>
      <c r="C4" s="136" t="s">
        <v>77</v>
      </c>
      <c r="D4" s="137"/>
      <c r="E4" s="138"/>
      <c r="F4" s="10" t="s">
        <v>7</v>
      </c>
      <c r="G4" s="6" t="str">
        <f ca="1">INDIRECT(ADDRESS(21,6))&amp;":"&amp;INDIRECT(ADDRESS(21,7))</f>
        <v>0:5</v>
      </c>
      <c r="H4" s="6" t="str">
        <f ca="1">INDIRECT(ADDRESS(25,7))&amp;":"&amp;INDIRECT(ADDRESS(25,6))</f>
        <v>10:3</v>
      </c>
      <c r="I4" s="21" t="str">
        <f ca="1">INDIRECT(ADDRESS(16,6))&amp;":"&amp;INDIRECT(ADDRESS(16,7))</f>
        <v>6:5</v>
      </c>
      <c r="J4" s="163">
        <f ca="1">IF(COUNT(F5:I5)=0,"",COUNTIF(F5:I5,"&gt;0")+0.5*COUNTIF(F5:I5,0))</f>
        <v>2</v>
      </c>
      <c r="K4" s="24"/>
      <c r="L4" s="164">
        <v>3</v>
      </c>
    </row>
    <row r="5" spans="1:13" ht="24" customHeight="1">
      <c r="B5" s="129"/>
      <c r="C5" s="113"/>
      <c r="D5" s="114"/>
      <c r="E5" s="115"/>
      <c r="F5" s="14" t="s">
        <v>7</v>
      </c>
      <c r="G5" s="17">
        <f ca="1">IF(LEN(INDIRECT(ADDRESS(ROW()-1, COLUMN())))=1,"",INDIRECT(ADDRESS(21,6))-INDIRECT(ADDRESS(21,7)))</f>
        <v>-5</v>
      </c>
      <c r="H5" s="17">
        <f ca="1">IF(LEN(INDIRECT(ADDRESS(ROW()-1, COLUMN())))=1,"",INDIRECT(ADDRESS(25,7))-INDIRECT(ADDRESS(25,6)))</f>
        <v>7</v>
      </c>
      <c r="I5" s="18">
        <f ca="1">IF(LEN(INDIRECT(ADDRESS(ROW()-1, COLUMN())))=1,"",INDIRECT(ADDRESS(16,6))-INDIRECT(ADDRESS(16,7)))</f>
        <v>1</v>
      </c>
      <c r="J5" s="107"/>
      <c r="K5" s="17">
        <f ca="1">IF(COUNT(F5:I5)=0,"",SUM(F5:I5))</f>
        <v>3</v>
      </c>
      <c r="L5" s="155"/>
    </row>
    <row r="6" spans="1:13" ht="24" customHeight="1">
      <c r="B6" s="111">
        <v>2</v>
      </c>
      <c r="C6" s="113" t="s">
        <v>78</v>
      </c>
      <c r="D6" s="114"/>
      <c r="E6" s="115"/>
      <c r="F6" s="12" t="str">
        <f ca="1">INDIRECT(ADDRESS(21,7))&amp;":"&amp;INDIRECT(ADDRESS(21,6))</f>
        <v>5:0</v>
      </c>
      <c r="G6" s="8" t="s">
        <v>7</v>
      </c>
      <c r="H6" s="7" t="str">
        <f ca="1">INDIRECT(ADDRESS(17,6))&amp;":"&amp;INDIRECT(ADDRESS(17,7))</f>
        <v>8:6</v>
      </c>
      <c r="I6" s="11" t="str">
        <f ca="1">INDIRECT(ADDRESS(24,6))&amp;":"&amp;INDIRECT(ADDRESS(24,7))</f>
        <v>5:7</v>
      </c>
      <c r="J6" s="107">
        <f ca="1">IF(COUNT(F7:I7)=0,"",COUNTIF(F7:I7,"&gt;0")+0.5*COUNTIF(F7:I7,0))</f>
        <v>2</v>
      </c>
      <c r="K6" s="17"/>
      <c r="L6" s="155">
        <v>1</v>
      </c>
    </row>
    <row r="7" spans="1:13" ht="24" customHeight="1">
      <c r="B7" s="129"/>
      <c r="C7" s="113"/>
      <c r="D7" s="114"/>
      <c r="E7" s="115"/>
      <c r="F7" s="23">
        <f ca="1">IF(LEN(INDIRECT(ADDRESS(ROW()-1, COLUMN())))=1,"",INDIRECT(ADDRESS(21,7))-INDIRECT(ADDRESS(21,6)))</f>
        <v>5</v>
      </c>
      <c r="G7" s="15" t="s">
        <v>7</v>
      </c>
      <c r="H7" s="17">
        <f ca="1">IF(LEN(INDIRECT(ADDRESS(ROW()-1, COLUMN())))=1,"",INDIRECT(ADDRESS(17,6))-INDIRECT(ADDRESS(17,7)))</f>
        <v>2</v>
      </c>
      <c r="I7" s="18">
        <f ca="1">IF(LEN(INDIRECT(ADDRESS(ROW()-1, COLUMN())))=1,"",INDIRECT(ADDRESS(24,6))-INDIRECT(ADDRESS(24,7)))</f>
        <v>-2</v>
      </c>
      <c r="J7" s="107"/>
      <c r="K7" s="17">
        <f ca="1">IF(COUNT(F7:I7)=0,"",SUM(F7:I7))</f>
        <v>5</v>
      </c>
      <c r="L7" s="155"/>
    </row>
    <row r="8" spans="1:13" ht="24" customHeight="1">
      <c r="B8" s="111">
        <v>3</v>
      </c>
      <c r="C8" s="113" t="s">
        <v>79</v>
      </c>
      <c r="D8" s="114"/>
      <c r="E8" s="115"/>
      <c r="F8" s="12" t="str">
        <f ca="1">INDIRECT(ADDRESS(25,6))&amp;":"&amp;INDIRECT(ADDRESS(25,7))</f>
        <v>3:10</v>
      </c>
      <c r="G8" s="7" t="str">
        <f ca="1">INDIRECT(ADDRESS(17,7))&amp;":"&amp;INDIRECT(ADDRESS(17,6))</f>
        <v>6:8</v>
      </c>
      <c r="H8" s="8" t="s">
        <v>7</v>
      </c>
      <c r="I8" s="11" t="str">
        <f ca="1">INDIRECT(ADDRESS(20,7))&amp;":"&amp;INDIRECT(ADDRESS(20,6))</f>
        <v>4:12</v>
      </c>
      <c r="J8" s="107">
        <f ca="1">IF(COUNT(F9:I9)=0,"",COUNTIF(F9:I9,"&gt;0")+0.5*COUNTIF(F9:I9,0))</f>
        <v>0</v>
      </c>
      <c r="K8" s="17"/>
      <c r="L8" s="155">
        <v>4</v>
      </c>
    </row>
    <row r="9" spans="1:13" ht="24" customHeight="1">
      <c r="B9" s="129"/>
      <c r="C9" s="113"/>
      <c r="D9" s="114"/>
      <c r="E9" s="115"/>
      <c r="F9" s="23">
        <f ca="1">IF(LEN(INDIRECT(ADDRESS(ROW()-1, COLUMN())))=1,"",INDIRECT(ADDRESS(25,6))-INDIRECT(ADDRESS(25,7)))</f>
        <v>-7</v>
      </c>
      <c r="G9" s="17">
        <f ca="1">IF(LEN(INDIRECT(ADDRESS(ROW()-1, COLUMN())))=1,"",INDIRECT(ADDRESS(17,7))-INDIRECT(ADDRESS(17,6)))</f>
        <v>-2</v>
      </c>
      <c r="H9" s="15" t="s">
        <v>7</v>
      </c>
      <c r="I9" s="18">
        <f ca="1">IF(LEN(INDIRECT(ADDRESS(ROW()-1, COLUMN())))=1,"",INDIRECT(ADDRESS(20,7))-INDIRECT(ADDRESS(20,6)))</f>
        <v>-8</v>
      </c>
      <c r="J9" s="107"/>
      <c r="K9" s="17">
        <f ca="1">IF(COUNT(F9:I9)=0,"",SUM(F9:I9))</f>
        <v>-17</v>
      </c>
      <c r="L9" s="155"/>
    </row>
    <row r="10" spans="1:13" ht="24" customHeight="1">
      <c r="B10" s="111">
        <v>4</v>
      </c>
      <c r="C10" s="113" t="s">
        <v>80</v>
      </c>
      <c r="D10" s="114"/>
      <c r="E10" s="115"/>
      <c r="F10" s="12" t="str">
        <f ca="1">INDIRECT(ADDRESS(16,7))&amp;":"&amp;INDIRECT(ADDRESS(16,6))</f>
        <v>5:6</v>
      </c>
      <c r="G10" s="7" t="str">
        <f ca="1">INDIRECT(ADDRESS(24,7))&amp;":"&amp;INDIRECT(ADDRESS(24,6))</f>
        <v>7:5</v>
      </c>
      <c r="H10" s="7" t="str">
        <f ca="1">INDIRECT(ADDRESS(20,6))&amp;":"&amp;INDIRECT(ADDRESS(20,7))</f>
        <v>12:4</v>
      </c>
      <c r="I10" s="13" t="s">
        <v>7</v>
      </c>
      <c r="J10" s="107">
        <f ca="1">IF(COUNT(F11:I11)=0,"",COUNTIF(F11:I11,"&gt;0")+0.5*COUNTIF(F11:I11,0))</f>
        <v>2</v>
      </c>
      <c r="K10" s="17"/>
      <c r="L10" s="155">
        <v>2</v>
      </c>
    </row>
    <row r="11" spans="1:13" ht="24" customHeight="1" thickBot="1">
      <c r="B11" s="112"/>
      <c r="C11" s="116"/>
      <c r="D11" s="117"/>
      <c r="E11" s="118"/>
      <c r="F11" s="20">
        <f ca="1">IF(LEN(INDIRECT(ADDRESS(ROW()-1, COLUMN())))=1,"",INDIRECT(ADDRESS(16,7))-INDIRECT(ADDRESS(16,6)))</f>
        <v>-1</v>
      </c>
      <c r="G11" s="19">
        <f ca="1">IF(LEN(INDIRECT(ADDRESS(ROW()-1, COLUMN())))=1,"",INDIRECT(ADDRESS(24,7))-INDIRECT(ADDRESS(24,6)))</f>
        <v>2</v>
      </c>
      <c r="H11" s="19">
        <f ca="1">IF(LEN(INDIRECT(ADDRESS(ROW()-1, COLUMN())))=1,"",INDIRECT(ADDRESS(20,6))-INDIRECT(ADDRESS(20,7)))</f>
        <v>8</v>
      </c>
      <c r="I11" s="16" t="s">
        <v>7</v>
      </c>
      <c r="J11" s="108"/>
      <c r="K11" s="19">
        <f ca="1">IF(COUNT(F11:I11)=0,"",SUM(F11:I11))</f>
        <v>9</v>
      </c>
      <c r="L11" s="162"/>
    </row>
    <row r="15" spans="1:13" s="65" customFormat="1" ht="30" customHeight="1" thickBot="1">
      <c r="A15" s="64"/>
      <c r="B15" s="106" t="s">
        <v>4</v>
      </c>
      <c r="C15" s="106"/>
      <c r="D15" s="106"/>
      <c r="E15" s="106"/>
      <c r="F15" s="106"/>
      <c r="G15" s="106"/>
      <c r="H15" s="106"/>
      <c r="I15" s="106"/>
      <c r="J15" s="106"/>
      <c r="K15" s="106"/>
      <c r="M15" s="69"/>
    </row>
    <row r="16" spans="1:13" s="65" customFormat="1" ht="30" customHeight="1" thickBot="1">
      <c r="A16" s="64"/>
      <c r="B16" s="70">
        <v>1</v>
      </c>
      <c r="C16" s="142" t="str">
        <f ca="1">IF(ISBLANK(INDIRECT(ADDRESS(B16*2+2,3))),"",INDIRECT(ADDRESS(B16*2+2,3)))</f>
        <v>Майсов, Семченкова</v>
      </c>
      <c r="D16" s="142"/>
      <c r="E16" s="143"/>
      <c r="F16" s="66">
        <v>6</v>
      </c>
      <c r="G16" s="67">
        <v>5</v>
      </c>
      <c r="H16" s="144" t="str">
        <f ca="1">IF(ISBLANK(INDIRECT(ADDRESS(K16*2+2,3))),"",INDIRECT(ADDRESS(K16*2+2,3)))</f>
        <v>Мутовина, Тихомирова</v>
      </c>
      <c r="I16" s="142"/>
      <c r="J16" s="142"/>
      <c r="K16" s="70">
        <v>4</v>
      </c>
      <c r="L16" s="68" t="s">
        <v>135</v>
      </c>
      <c r="M16" s="71"/>
    </row>
    <row r="17" spans="1:13" s="65" customFormat="1" ht="30" customHeight="1" thickBot="1">
      <c r="A17" s="64"/>
      <c r="B17" s="70">
        <v>2</v>
      </c>
      <c r="C17" s="142" t="str">
        <f ca="1">IF(ISBLANK(INDIRECT(ADDRESS(B17*2+2,3))),"",INDIRECT(ADDRESS(B17*2+2,3)))</f>
        <v>Данилов, Фёдорова</v>
      </c>
      <c r="D17" s="142"/>
      <c r="E17" s="143"/>
      <c r="F17" s="66">
        <v>8</v>
      </c>
      <c r="G17" s="67">
        <v>6</v>
      </c>
      <c r="H17" s="144" t="str">
        <f ca="1">IF(ISBLANK(INDIRECT(ADDRESS(K17*2+2,3))),"",INDIRECT(ADDRESS(K17*2+2,3)))</f>
        <v>Накахидзе, Власенко</v>
      </c>
      <c r="I17" s="142"/>
      <c r="J17" s="142"/>
      <c r="K17" s="70">
        <v>3</v>
      </c>
      <c r="L17" s="68" t="s">
        <v>136</v>
      </c>
      <c r="M17" s="71"/>
    </row>
    <row r="18" spans="1:13" s="65" customFormat="1" ht="30" customHeight="1">
      <c r="A18" s="64"/>
      <c r="M18" s="71"/>
    </row>
    <row r="19" spans="1:13" s="65" customFormat="1" ht="30" customHeight="1" thickBot="1">
      <c r="A19" s="64"/>
      <c r="B19" s="106" t="s">
        <v>5</v>
      </c>
      <c r="C19" s="106"/>
      <c r="D19" s="106"/>
      <c r="E19" s="106"/>
      <c r="F19" s="106"/>
      <c r="G19" s="106"/>
      <c r="H19" s="106"/>
      <c r="I19" s="106"/>
      <c r="J19" s="106"/>
      <c r="K19" s="106"/>
      <c r="M19" s="71"/>
    </row>
    <row r="20" spans="1:13" s="65" customFormat="1" ht="30" customHeight="1" thickBot="1">
      <c r="A20" s="64"/>
      <c r="B20" s="70">
        <v>4</v>
      </c>
      <c r="C20" s="142" t="str">
        <f ca="1">IF(ISBLANK(INDIRECT(ADDRESS(B20*2+2,3))),"",INDIRECT(ADDRESS(B20*2+2,3)))</f>
        <v>Мутовина, Тихомирова</v>
      </c>
      <c r="D20" s="142"/>
      <c r="E20" s="143"/>
      <c r="F20" s="66">
        <v>12</v>
      </c>
      <c r="G20" s="67">
        <v>4</v>
      </c>
      <c r="H20" s="144" t="str">
        <f ca="1">IF(ISBLANK(INDIRECT(ADDRESS(K20*2+2,3))),"",INDIRECT(ADDRESS(K20*2+2,3)))</f>
        <v>Накахидзе, Власенко</v>
      </c>
      <c r="I20" s="142"/>
      <c r="J20" s="142"/>
      <c r="K20" s="70">
        <v>3</v>
      </c>
      <c r="L20" s="68" t="s">
        <v>137</v>
      </c>
      <c r="M20" s="71"/>
    </row>
    <row r="21" spans="1:13" s="65" customFormat="1" ht="30" customHeight="1" thickBot="1">
      <c r="A21" s="64"/>
      <c r="B21" s="70">
        <v>1</v>
      </c>
      <c r="C21" s="142" t="str">
        <f ca="1">IF(ISBLANK(INDIRECT(ADDRESS(B21*2+2,3))),"",INDIRECT(ADDRESS(B21*2+2,3)))</f>
        <v>Майсов, Семченкова</v>
      </c>
      <c r="D21" s="142"/>
      <c r="E21" s="143"/>
      <c r="F21" s="66">
        <v>0</v>
      </c>
      <c r="G21" s="67">
        <v>5</v>
      </c>
      <c r="H21" s="144" t="str">
        <f ca="1">IF(ISBLANK(INDIRECT(ADDRESS(K21*2+2,3))),"",INDIRECT(ADDRESS(K21*2+2,3)))</f>
        <v>Данилов, Фёдорова</v>
      </c>
      <c r="I21" s="142"/>
      <c r="J21" s="142"/>
      <c r="K21" s="70">
        <v>2</v>
      </c>
      <c r="L21" s="68" t="s">
        <v>138</v>
      </c>
      <c r="M21" s="71"/>
    </row>
    <row r="22" spans="1:13" s="65" customFormat="1" ht="30" customHeight="1">
      <c r="A22" s="64"/>
      <c r="M22" s="71"/>
    </row>
    <row r="23" spans="1:13" s="65" customFormat="1" ht="30" customHeight="1" thickBot="1">
      <c r="A23" s="64"/>
      <c r="B23" s="106" t="s">
        <v>6</v>
      </c>
      <c r="C23" s="106"/>
      <c r="D23" s="106"/>
      <c r="E23" s="106"/>
      <c r="F23" s="106"/>
      <c r="G23" s="106"/>
      <c r="H23" s="106"/>
      <c r="I23" s="106"/>
      <c r="J23" s="106"/>
      <c r="K23" s="106"/>
      <c r="M23" s="71"/>
    </row>
    <row r="24" spans="1:13" s="65" customFormat="1" ht="30" customHeight="1" thickBot="1">
      <c r="A24" s="64"/>
      <c r="B24" s="70">
        <v>2</v>
      </c>
      <c r="C24" s="142" t="str">
        <f ca="1">IF(ISBLANK(INDIRECT(ADDRESS(B24*2+2,3))),"",INDIRECT(ADDRESS(B24*2+2,3)))</f>
        <v>Данилов, Фёдорова</v>
      </c>
      <c r="D24" s="142"/>
      <c r="E24" s="143"/>
      <c r="F24" s="66">
        <v>5</v>
      </c>
      <c r="G24" s="67">
        <v>7</v>
      </c>
      <c r="H24" s="144" t="str">
        <f ca="1">IF(ISBLANK(INDIRECT(ADDRESS(K24*2+2,3))),"",INDIRECT(ADDRESS(K24*2+2,3)))</f>
        <v>Мутовина, Тихомирова</v>
      </c>
      <c r="I24" s="142"/>
      <c r="J24" s="142"/>
      <c r="K24" s="70">
        <v>4</v>
      </c>
      <c r="L24" s="68" t="s">
        <v>131</v>
      </c>
      <c r="M24" s="71"/>
    </row>
    <row r="25" spans="1:13" s="65" customFormat="1" ht="30" customHeight="1" thickBot="1">
      <c r="A25" s="64"/>
      <c r="B25" s="70">
        <v>3</v>
      </c>
      <c r="C25" s="142" t="str">
        <f ca="1">IF(ISBLANK(INDIRECT(ADDRESS(B25*2+2,3))),"",INDIRECT(ADDRESS(B25*2+2,3)))</f>
        <v>Накахидзе, Власенко</v>
      </c>
      <c r="D25" s="142"/>
      <c r="E25" s="143"/>
      <c r="F25" s="66">
        <v>3</v>
      </c>
      <c r="G25" s="67">
        <v>10</v>
      </c>
      <c r="H25" s="144" t="str">
        <f ca="1">IF(ISBLANK(INDIRECT(ADDRESS(K25*2+2,3))),"",INDIRECT(ADDRESS(K25*2+2,3)))</f>
        <v>Майсов, Семченкова</v>
      </c>
      <c r="I25" s="142"/>
      <c r="J25" s="142"/>
      <c r="K25" s="70">
        <v>1</v>
      </c>
      <c r="L25" s="68" t="s">
        <v>132</v>
      </c>
      <c r="M25" s="71"/>
    </row>
    <row r="28" spans="1:13" ht="21">
      <c r="B28" s="90" t="s">
        <v>99</v>
      </c>
      <c r="C28" s="90"/>
      <c r="D28" s="90"/>
      <c r="E28" s="29"/>
      <c r="F28" s="29"/>
      <c r="G28" s="29"/>
      <c r="H28" s="29"/>
      <c r="I28" s="29"/>
    </row>
    <row r="29" spans="1:13" ht="21">
      <c r="B29" s="90"/>
      <c r="C29" s="90"/>
      <c r="D29" s="90"/>
      <c r="E29" s="29"/>
      <c r="F29" s="29"/>
      <c r="G29" s="29"/>
      <c r="H29" s="29"/>
      <c r="I29" s="29"/>
    </row>
    <row r="30" spans="1:13" ht="21">
      <c r="B30" s="90"/>
      <c r="C30" s="90"/>
      <c r="D30" s="90"/>
      <c r="E30" s="29"/>
      <c r="F30" s="29"/>
      <c r="G30" s="29"/>
      <c r="H30" s="29"/>
      <c r="I30" s="29"/>
    </row>
    <row r="31" spans="1:13" ht="21">
      <c r="B31" s="90" t="s">
        <v>130</v>
      </c>
      <c r="C31" s="90"/>
      <c r="D31" s="90"/>
      <c r="E31" s="29"/>
      <c r="F31" s="29"/>
      <c r="G31" s="29"/>
      <c r="H31" s="29"/>
      <c r="I31" s="29"/>
    </row>
  </sheetData>
  <sheetCalcPr fullCalcOnLoad="1"/>
  <mergeCells count="33">
    <mergeCell ref="B6:B7"/>
    <mergeCell ref="C6:E7"/>
    <mergeCell ref="J6:J7"/>
    <mergeCell ref="B1:L1"/>
    <mergeCell ref="L6:L7"/>
    <mergeCell ref="C3:E3"/>
    <mergeCell ref="B4:B5"/>
    <mergeCell ref="C4:E5"/>
    <mergeCell ref="J4:J5"/>
    <mergeCell ref="L4:L5"/>
    <mergeCell ref="B19:K19"/>
    <mergeCell ref="L8:L9"/>
    <mergeCell ref="B10:B11"/>
    <mergeCell ref="C10:E11"/>
    <mergeCell ref="J10:J11"/>
    <mergeCell ref="L10:L11"/>
    <mergeCell ref="B8:B9"/>
    <mergeCell ref="C8:E9"/>
    <mergeCell ref="J8:J9"/>
    <mergeCell ref="B15:K15"/>
    <mergeCell ref="C16:E16"/>
    <mergeCell ref="H16:J16"/>
    <mergeCell ref="C17:E17"/>
    <mergeCell ref="H17:J17"/>
    <mergeCell ref="C25:E25"/>
    <mergeCell ref="H25:J25"/>
    <mergeCell ref="C20:E20"/>
    <mergeCell ref="H20:J20"/>
    <mergeCell ref="C21:E21"/>
    <mergeCell ref="H21:J21"/>
    <mergeCell ref="B23:K23"/>
    <mergeCell ref="C24:E24"/>
    <mergeCell ref="H24:J24"/>
  </mergeCells>
  <phoneticPr fontId="10" type="noConversion"/>
  <printOptions horizontalCentered="1"/>
  <pageMargins left="0.25" right="0.25" top="0.75" bottom="0.75" header="0.3" footer="0.3"/>
  <pageSetup paperSize="9" scale="84" orientation="portrait" horizontalDpi="4294967293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M31"/>
  <sheetViews>
    <sheetView topLeftCell="A7" workbookViewId="0">
      <selection activeCell="M31" sqref="M31"/>
    </sheetView>
  </sheetViews>
  <sheetFormatPr defaultRowHeight="15"/>
  <cols>
    <col min="1" max="1" width="4" style="30" customWidth="1"/>
    <col min="2" max="12" width="10.28515625" customWidth="1"/>
    <col min="13" max="13" width="10.28515625" style="38" customWidth="1"/>
    <col min="14" max="15" width="10.28515625" customWidth="1"/>
  </cols>
  <sheetData>
    <row r="1" spans="1:13" ht="40.5" customHeight="1">
      <c r="B1" s="147" t="s">
        <v>69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3" ht="15.75" thickBot="1"/>
    <row r="3" spans="1:13" ht="30" customHeight="1" thickBot="1">
      <c r="B3" s="25"/>
      <c r="C3" s="132" t="s">
        <v>0</v>
      </c>
      <c r="D3" s="133"/>
      <c r="E3" s="134"/>
      <c r="F3" s="1">
        <v>1</v>
      </c>
      <c r="G3" s="1">
        <v>2</v>
      </c>
      <c r="H3" s="2">
        <v>3</v>
      </c>
      <c r="I3" s="2">
        <v>4</v>
      </c>
      <c r="J3" s="25" t="s">
        <v>1</v>
      </c>
      <c r="K3" s="1" t="s">
        <v>3</v>
      </c>
      <c r="L3" s="22" t="s">
        <v>2</v>
      </c>
    </row>
    <row r="4" spans="1:13" ht="24" customHeight="1">
      <c r="B4" s="135">
        <v>1</v>
      </c>
      <c r="C4" s="136" t="s">
        <v>81</v>
      </c>
      <c r="D4" s="137"/>
      <c r="E4" s="138"/>
      <c r="F4" s="10" t="s">
        <v>7</v>
      </c>
      <c r="G4" s="6" t="str">
        <f ca="1">INDIRECT(ADDRESS(21,6))&amp;":"&amp;INDIRECT(ADDRESS(21,7))</f>
        <v>9:12</v>
      </c>
      <c r="H4" s="6" t="str">
        <f ca="1">INDIRECT(ADDRESS(25,7))&amp;":"&amp;INDIRECT(ADDRESS(25,6))</f>
        <v>10:5</v>
      </c>
      <c r="I4" s="21" t="str">
        <f ca="1">INDIRECT(ADDRESS(16,6))&amp;":"&amp;INDIRECT(ADDRESS(16,7))</f>
        <v>3:10</v>
      </c>
      <c r="J4" s="163">
        <f ca="1">IF(COUNT(F5:I5)=0,"",COUNTIF(F5:I5,"&gt;0")+0.5*COUNTIF(F5:I5,0))</f>
        <v>1</v>
      </c>
      <c r="K4" s="24"/>
      <c r="L4" s="164"/>
    </row>
    <row r="5" spans="1:13" ht="24" customHeight="1">
      <c r="B5" s="129"/>
      <c r="C5" s="113"/>
      <c r="D5" s="114"/>
      <c r="E5" s="115"/>
      <c r="F5" s="14" t="s">
        <v>7</v>
      </c>
      <c r="G5" s="17">
        <f ca="1">IF(LEN(INDIRECT(ADDRESS(ROW()-1, COLUMN())))=1,"",INDIRECT(ADDRESS(21,6))-INDIRECT(ADDRESS(21,7)))</f>
        <v>-3</v>
      </c>
      <c r="H5" s="17">
        <f ca="1">IF(LEN(INDIRECT(ADDRESS(ROW()-1, COLUMN())))=1,"",INDIRECT(ADDRESS(25,7))-INDIRECT(ADDRESS(25,6)))</f>
        <v>5</v>
      </c>
      <c r="I5" s="18">
        <f ca="1">IF(LEN(INDIRECT(ADDRESS(ROW()-1, COLUMN())))=1,"",INDIRECT(ADDRESS(16,6))-INDIRECT(ADDRESS(16,7)))</f>
        <v>-7</v>
      </c>
      <c r="J5" s="107"/>
      <c r="K5" s="17">
        <f ca="1">IF(COUNT(F5:I5)=0,"",SUM(F5:I5))</f>
        <v>-5</v>
      </c>
      <c r="L5" s="155"/>
    </row>
    <row r="6" spans="1:13" ht="24" customHeight="1">
      <c r="B6" s="111">
        <v>2</v>
      </c>
      <c r="C6" s="113" t="s">
        <v>82</v>
      </c>
      <c r="D6" s="114"/>
      <c r="E6" s="115"/>
      <c r="F6" s="12" t="str">
        <f ca="1">INDIRECT(ADDRESS(21,7))&amp;":"&amp;INDIRECT(ADDRESS(21,6))</f>
        <v>12:9</v>
      </c>
      <c r="G6" s="8" t="s">
        <v>7</v>
      </c>
      <c r="H6" s="7" t="str">
        <f ca="1">INDIRECT(ADDRESS(17,6))&amp;":"&amp;INDIRECT(ADDRESS(17,7))</f>
        <v>7:11</v>
      </c>
      <c r="I6" s="11" t="str">
        <f ca="1">INDIRECT(ADDRESS(24,6))&amp;":"&amp;INDIRECT(ADDRESS(24,7))</f>
        <v>13:5</v>
      </c>
      <c r="J6" s="107">
        <f ca="1">IF(COUNT(F7:I7)=0,"",COUNTIF(F7:I7,"&gt;0")+0.5*COUNTIF(F7:I7,0))</f>
        <v>2</v>
      </c>
      <c r="K6" s="17"/>
      <c r="L6" s="155"/>
    </row>
    <row r="7" spans="1:13" ht="24" customHeight="1">
      <c r="B7" s="129"/>
      <c r="C7" s="113"/>
      <c r="D7" s="114"/>
      <c r="E7" s="115"/>
      <c r="F7" s="23">
        <f ca="1">IF(LEN(INDIRECT(ADDRESS(ROW()-1, COLUMN())))=1,"",INDIRECT(ADDRESS(21,7))-INDIRECT(ADDRESS(21,6)))</f>
        <v>3</v>
      </c>
      <c r="G7" s="15" t="s">
        <v>7</v>
      </c>
      <c r="H7" s="17">
        <f ca="1">IF(LEN(INDIRECT(ADDRESS(ROW()-1, COLUMN())))=1,"",INDIRECT(ADDRESS(17,6))-INDIRECT(ADDRESS(17,7)))</f>
        <v>-4</v>
      </c>
      <c r="I7" s="18">
        <f ca="1">IF(LEN(INDIRECT(ADDRESS(ROW()-1, COLUMN())))=1,"",INDIRECT(ADDRESS(24,6))-INDIRECT(ADDRESS(24,7)))</f>
        <v>8</v>
      </c>
      <c r="J7" s="107"/>
      <c r="K7" s="17">
        <f ca="1">IF(COUNT(F7:I7)=0,"",SUM(F7:I7))</f>
        <v>7</v>
      </c>
      <c r="L7" s="155"/>
    </row>
    <row r="8" spans="1:13" ht="24" customHeight="1">
      <c r="B8" s="111">
        <v>3</v>
      </c>
      <c r="C8" s="113" t="s">
        <v>83</v>
      </c>
      <c r="D8" s="114"/>
      <c r="E8" s="115"/>
      <c r="F8" s="12" t="str">
        <f ca="1">INDIRECT(ADDRESS(25,6))&amp;":"&amp;INDIRECT(ADDRESS(25,7))</f>
        <v>5:10</v>
      </c>
      <c r="G8" s="7" t="str">
        <f ca="1">INDIRECT(ADDRESS(17,7))&amp;":"&amp;INDIRECT(ADDRESS(17,6))</f>
        <v>11:7</v>
      </c>
      <c r="H8" s="8" t="s">
        <v>7</v>
      </c>
      <c r="I8" s="11" t="str">
        <f ca="1">INDIRECT(ADDRESS(20,7))&amp;":"&amp;INDIRECT(ADDRESS(20,6))</f>
        <v>5:13</v>
      </c>
      <c r="J8" s="107">
        <f ca="1">IF(COUNT(F9:I9)=0,"",COUNTIF(F9:I9,"&gt;0")+0.5*COUNTIF(F9:I9,0))</f>
        <v>1</v>
      </c>
      <c r="K8" s="17"/>
      <c r="L8" s="155"/>
    </row>
    <row r="9" spans="1:13" ht="24" customHeight="1">
      <c r="B9" s="129"/>
      <c r="C9" s="113"/>
      <c r="D9" s="114"/>
      <c r="E9" s="115"/>
      <c r="F9" s="23">
        <f ca="1">IF(LEN(INDIRECT(ADDRESS(ROW()-1, COLUMN())))=1,"",INDIRECT(ADDRESS(25,6))-INDIRECT(ADDRESS(25,7)))</f>
        <v>-5</v>
      </c>
      <c r="G9" s="17">
        <f ca="1">IF(LEN(INDIRECT(ADDRESS(ROW()-1, COLUMN())))=1,"",INDIRECT(ADDRESS(17,7))-INDIRECT(ADDRESS(17,6)))</f>
        <v>4</v>
      </c>
      <c r="H9" s="15" t="s">
        <v>7</v>
      </c>
      <c r="I9" s="18">
        <f ca="1">IF(LEN(INDIRECT(ADDRESS(ROW()-1, COLUMN())))=1,"",INDIRECT(ADDRESS(20,7))-INDIRECT(ADDRESS(20,6)))</f>
        <v>-8</v>
      </c>
      <c r="J9" s="107"/>
      <c r="K9" s="17">
        <f ca="1">IF(COUNT(F9:I9)=0,"",SUM(F9:I9))</f>
        <v>-9</v>
      </c>
      <c r="L9" s="155"/>
    </row>
    <row r="10" spans="1:13" ht="24" customHeight="1">
      <c r="B10" s="111">
        <v>4</v>
      </c>
      <c r="C10" s="113" t="s">
        <v>84</v>
      </c>
      <c r="D10" s="114"/>
      <c r="E10" s="115"/>
      <c r="F10" s="12" t="str">
        <f ca="1">INDIRECT(ADDRESS(16,7))&amp;":"&amp;INDIRECT(ADDRESS(16,6))</f>
        <v>10:3</v>
      </c>
      <c r="G10" s="7" t="str">
        <f ca="1">INDIRECT(ADDRESS(24,7))&amp;":"&amp;INDIRECT(ADDRESS(24,6))</f>
        <v>5:13</v>
      </c>
      <c r="H10" s="7" t="str">
        <f ca="1">INDIRECT(ADDRESS(20,6))&amp;":"&amp;INDIRECT(ADDRESS(20,7))</f>
        <v>13:5</v>
      </c>
      <c r="I10" s="13" t="s">
        <v>7</v>
      </c>
      <c r="J10" s="107">
        <f ca="1">IF(COUNT(F11:I11)=0,"",COUNTIF(F11:I11,"&gt;0")+0.5*COUNTIF(F11:I11,0))</f>
        <v>2</v>
      </c>
      <c r="K10" s="17"/>
      <c r="L10" s="155"/>
    </row>
    <row r="11" spans="1:13" ht="24" customHeight="1" thickBot="1">
      <c r="B11" s="112"/>
      <c r="C11" s="116"/>
      <c r="D11" s="117"/>
      <c r="E11" s="118"/>
      <c r="F11" s="20">
        <f ca="1">IF(LEN(INDIRECT(ADDRESS(ROW()-1, COLUMN())))=1,"",INDIRECT(ADDRESS(16,7))-INDIRECT(ADDRESS(16,6)))</f>
        <v>7</v>
      </c>
      <c r="G11" s="19">
        <f ca="1">IF(LEN(INDIRECT(ADDRESS(ROW()-1, COLUMN())))=1,"",INDIRECT(ADDRESS(24,7))-INDIRECT(ADDRESS(24,6)))</f>
        <v>-8</v>
      </c>
      <c r="H11" s="19">
        <f ca="1">IF(LEN(INDIRECT(ADDRESS(ROW()-1, COLUMN())))=1,"",INDIRECT(ADDRESS(20,6))-INDIRECT(ADDRESS(20,7)))</f>
        <v>8</v>
      </c>
      <c r="I11" s="16" t="s">
        <v>7</v>
      </c>
      <c r="J11" s="108"/>
      <c r="K11" s="19">
        <f ca="1">IF(COUNT(F11:I11)=0,"",SUM(F11:I11))</f>
        <v>7</v>
      </c>
      <c r="L11" s="162"/>
    </row>
    <row r="15" spans="1:13" s="65" customFormat="1" ht="30" customHeight="1" thickBot="1">
      <c r="A15" s="64"/>
      <c r="B15" s="106" t="s">
        <v>4</v>
      </c>
      <c r="C15" s="106"/>
      <c r="D15" s="106"/>
      <c r="E15" s="106"/>
      <c r="F15" s="106"/>
      <c r="G15" s="106"/>
      <c r="H15" s="106"/>
      <c r="I15" s="106"/>
      <c r="J15" s="106"/>
      <c r="K15" s="106"/>
      <c r="M15" s="69"/>
    </row>
    <row r="16" spans="1:13" s="65" customFormat="1" ht="30" customHeight="1" thickBot="1">
      <c r="A16" s="64"/>
      <c r="B16" s="70">
        <v>1</v>
      </c>
      <c r="C16" s="142" t="str">
        <f ca="1">IF(ISBLANK(INDIRECT(ADDRESS(B16*2+2,3))),"",INDIRECT(ADDRESS(B16*2+2,3)))</f>
        <v>Карасёв, Симутина</v>
      </c>
      <c r="D16" s="142"/>
      <c r="E16" s="143"/>
      <c r="F16" s="66">
        <v>3</v>
      </c>
      <c r="G16" s="67">
        <v>10</v>
      </c>
      <c r="H16" s="167" t="str">
        <f ca="1">IF(ISBLANK(INDIRECT(ADDRESS(K16*2+2,3))),"",INDIRECT(ADDRESS(K16*2+2,3)))</f>
        <v>Пасечникова, Турбаевская</v>
      </c>
      <c r="I16" s="165"/>
      <c r="J16" s="165"/>
      <c r="K16" s="70">
        <v>4</v>
      </c>
      <c r="L16" s="68" t="s">
        <v>137</v>
      </c>
      <c r="M16" s="71"/>
    </row>
    <row r="17" spans="1:13" s="65" customFormat="1" ht="30" customHeight="1" thickBot="1">
      <c r="A17" s="64"/>
      <c r="B17" s="70">
        <v>2</v>
      </c>
      <c r="C17" s="142" t="str">
        <f ca="1">IF(ISBLANK(INDIRECT(ADDRESS(B17*2+2,3))),"",INDIRECT(ADDRESS(B17*2+2,3)))</f>
        <v>Попов Д., Ерасова</v>
      </c>
      <c r="D17" s="142"/>
      <c r="E17" s="143"/>
      <c r="F17" s="66">
        <v>7</v>
      </c>
      <c r="G17" s="67">
        <v>11</v>
      </c>
      <c r="H17" s="144" t="str">
        <f ca="1">IF(ISBLANK(INDIRECT(ADDRESS(K17*2+2,3))),"",INDIRECT(ADDRESS(K17*2+2,3)))</f>
        <v>Оноприенко, Панкова</v>
      </c>
      <c r="I17" s="142"/>
      <c r="J17" s="142"/>
      <c r="K17" s="70">
        <v>3</v>
      </c>
      <c r="L17" s="68" t="s">
        <v>138</v>
      </c>
      <c r="M17" s="71"/>
    </row>
    <row r="18" spans="1:13" s="65" customFormat="1" ht="30" customHeight="1">
      <c r="A18" s="64"/>
      <c r="M18" s="71"/>
    </row>
    <row r="19" spans="1:13" s="65" customFormat="1" ht="30" customHeight="1" thickBot="1">
      <c r="A19" s="64"/>
      <c r="B19" s="106" t="s">
        <v>5</v>
      </c>
      <c r="C19" s="106"/>
      <c r="D19" s="106"/>
      <c r="E19" s="106"/>
      <c r="F19" s="106"/>
      <c r="G19" s="106"/>
      <c r="H19" s="106"/>
      <c r="I19" s="106"/>
      <c r="J19" s="106"/>
      <c r="K19" s="106"/>
      <c r="M19" s="71"/>
    </row>
    <row r="20" spans="1:13" s="65" customFormat="1" ht="30" customHeight="1" thickBot="1">
      <c r="A20" s="64"/>
      <c r="B20" s="70">
        <v>4</v>
      </c>
      <c r="C20" s="165" t="str">
        <f ca="1">IF(ISBLANK(INDIRECT(ADDRESS(B20*2+2,3))),"",INDIRECT(ADDRESS(B20*2+2,3)))</f>
        <v>Пасечникова, Турбаевская</v>
      </c>
      <c r="D20" s="165"/>
      <c r="E20" s="166"/>
      <c r="F20" s="66">
        <v>13</v>
      </c>
      <c r="G20" s="67">
        <v>5</v>
      </c>
      <c r="H20" s="144" t="str">
        <f ca="1">IF(ISBLANK(INDIRECT(ADDRESS(K20*2+2,3))),"",INDIRECT(ADDRESS(K20*2+2,3)))</f>
        <v>Оноприенко, Панкова</v>
      </c>
      <c r="I20" s="142"/>
      <c r="J20" s="142"/>
      <c r="K20" s="70">
        <v>3</v>
      </c>
      <c r="L20" s="68" t="s">
        <v>131</v>
      </c>
      <c r="M20" s="71"/>
    </row>
    <row r="21" spans="1:13" s="65" customFormat="1" ht="30" customHeight="1" thickBot="1">
      <c r="A21" s="64"/>
      <c r="B21" s="70">
        <v>1</v>
      </c>
      <c r="C21" s="142" t="str">
        <f ca="1">IF(ISBLANK(INDIRECT(ADDRESS(B21*2+2,3))),"",INDIRECT(ADDRESS(B21*2+2,3)))</f>
        <v>Карасёв, Симутина</v>
      </c>
      <c r="D21" s="142"/>
      <c r="E21" s="143"/>
      <c r="F21" s="66">
        <v>9</v>
      </c>
      <c r="G21" s="67">
        <v>12</v>
      </c>
      <c r="H21" s="144" t="str">
        <f ca="1">IF(ISBLANK(INDIRECT(ADDRESS(K21*2+2,3))),"",INDIRECT(ADDRESS(K21*2+2,3)))</f>
        <v>Попов Д., Ерасова</v>
      </c>
      <c r="I21" s="142"/>
      <c r="J21" s="142"/>
      <c r="K21" s="70">
        <v>2</v>
      </c>
      <c r="L21" s="68" t="s">
        <v>132</v>
      </c>
      <c r="M21" s="71"/>
    </row>
    <row r="22" spans="1:13" s="65" customFormat="1" ht="30" customHeight="1">
      <c r="A22" s="64"/>
      <c r="M22" s="71"/>
    </row>
    <row r="23" spans="1:13" s="65" customFormat="1" ht="30" customHeight="1" thickBot="1">
      <c r="A23" s="64"/>
      <c r="B23" s="106" t="s">
        <v>6</v>
      </c>
      <c r="C23" s="106"/>
      <c r="D23" s="106"/>
      <c r="E23" s="106"/>
      <c r="F23" s="106"/>
      <c r="G23" s="106"/>
      <c r="H23" s="106"/>
      <c r="I23" s="106"/>
      <c r="J23" s="106"/>
      <c r="K23" s="106"/>
      <c r="M23" s="71"/>
    </row>
    <row r="24" spans="1:13" s="65" customFormat="1" ht="30" customHeight="1" thickBot="1">
      <c r="A24" s="64"/>
      <c r="B24" s="70">
        <v>2</v>
      </c>
      <c r="C24" s="142" t="str">
        <f ca="1">IF(ISBLANK(INDIRECT(ADDRESS(B24*2+2,3))),"",INDIRECT(ADDRESS(B24*2+2,3)))</f>
        <v>Попов Д., Ерасова</v>
      </c>
      <c r="D24" s="142"/>
      <c r="E24" s="143"/>
      <c r="F24" s="66">
        <v>13</v>
      </c>
      <c r="G24" s="67">
        <v>5</v>
      </c>
      <c r="H24" s="167" t="str">
        <f ca="1">IF(ISBLANK(INDIRECT(ADDRESS(K24*2+2,3))),"",INDIRECT(ADDRESS(K24*2+2,3)))</f>
        <v>Пасечникова, Турбаевская</v>
      </c>
      <c r="I24" s="165"/>
      <c r="J24" s="165"/>
      <c r="K24" s="70">
        <v>4</v>
      </c>
      <c r="L24" s="68" t="s">
        <v>133</v>
      </c>
      <c r="M24" s="71"/>
    </row>
    <row r="25" spans="1:13" s="65" customFormat="1" ht="30" customHeight="1" thickBot="1">
      <c r="A25" s="64"/>
      <c r="B25" s="70">
        <v>3</v>
      </c>
      <c r="C25" s="142" t="str">
        <f ca="1">IF(ISBLANK(INDIRECT(ADDRESS(B25*2+2,3))),"",INDIRECT(ADDRESS(B25*2+2,3)))</f>
        <v>Оноприенко, Панкова</v>
      </c>
      <c r="D25" s="142"/>
      <c r="E25" s="143"/>
      <c r="F25" s="66">
        <v>5</v>
      </c>
      <c r="G25" s="67">
        <v>10</v>
      </c>
      <c r="H25" s="144" t="str">
        <f ca="1">IF(ISBLANK(INDIRECT(ADDRESS(K25*2+2,3))),"",INDIRECT(ADDRESS(K25*2+2,3)))</f>
        <v>Карасёв, Симутина</v>
      </c>
      <c r="I25" s="142"/>
      <c r="J25" s="142"/>
      <c r="K25" s="70">
        <v>1</v>
      </c>
      <c r="L25" s="68" t="s">
        <v>134</v>
      </c>
      <c r="M25" s="71"/>
    </row>
    <row r="28" spans="1:13" ht="21">
      <c r="B28" s="90" t="s">
        <v>99</v>
      </c>
      <c r="C28" s="90"/>
      <c r="D28" s="90"/>
      <c r="E28" s="29"/>
      <c r="F28" s="29"/>
      <c r="G28" s="29"/>
      <c r="H28" s="29"/>
      <c r="I28" s="29"/>
    </row>
    <row r="29" spans="1:13" ht="21">
      <c r="B29" s="90"/>
      <c r="C29" s="90"/>
      <c r="D29" s="90"/>
      <c r="E29" s="29"/>
      <c r="F29" s="29"/>
      <c r="G29" s="29"/>
      <c r="H29" s="29"/>
      <c r="I29" s="29"/>
    </row>
    <row r="30" spans="1:13" ht="21">
      <c r="B30" s="90"/>
      <c r="C30" s="90"/>
      <c r="D30" s="90"/>
      <c r="E30" s="29"/>
      <c r="F30" s="29"/>
      <c r="G30" s="29"/>
      <c r="H30" s="29"/>
      <c r="I30" s="29"/>
    </row>
    <row r="31" spans="1:13" ht="21">
      <c r="B31" s="90" t="s">
        <v>130</v>
      </c>
      <c r="C31" s="90"/>
      <c r="D31" s="90"/>
      <c r="E31" s="29"/>
      <c r="F31" s="29"/>
      <c r="G31" s="29"/>
      <c r="H31" s="29"/>
      <c r="I31" s="29"/>
    </row>
  </sheetData>
  <sheetCalcPr fullCalcOnLoad="1"/>
  <mergeCells count="33">
    <mergeCell ref="H24:J24"/>
    <mergeCell ref="C17:E17"/>
    <mergeCell ref="H17:J17"/>
    <mergeCell ref="C25:E25"/>
    <mergeCell ref="H25:J25"/>
    <mergeCell ref="C20:E20"/>
    <mergeCell ref="H20:J20"/>
    <mergeCell ref="C21:E21"/>
    <mergeCell ref="H21:J21"/>
    <mergeCell ref="B23:K23"/>
    <mergeCell ref="C24:E24"/>
    <mergeCell ref="B10:B11"/>
    <mergeCell ref="L6:L7"/>
    <mergeCell ref="B6:B7"/>
    <mergeCell ref="C6:E7"/>
    <mergeCell ref="J6:J7"/>
    <mergeCell ref="B19:K19"/>
    <mergeCell ref="B8:B9"/>
    <mergeCell ref="C8:E9"/>
    <mergeCell ref="J8:J9"/>
    <mergeCell ref="B15:K15"/>
    <mergeCell ref="L8:L9"/>
    <mergeCell ref="C10:E11"/>
    <mergeCell ref="J10:J11"/>
    <mergeCell ref="L10:L11"/>
    <mergeCell ref="C16:E16"/>
    <mergeCell ref="H16:J16"/>
    <mergeCell ref="B1:L1"/>
    <mergeCell ref="B4:B5"/>
    <mergeCell ref="C4:E5"/>
    <mergeCell ref="J4:J5"/>
    <mergeCell ref="L4:L5"/>
    <mergeCell ref="C3:E3"/>
  </mergeCells>
  <phoneticPr fontId="10" type="noConversion"/>
  <printOptions horizontalCentered="1"/>
  <pageMargins left="0.25" right="0.25" top="0.75" bottom="0.75" header="0.3" footer="0.3"/>
  <pageSetup paperSize="9" scale="84" orientation="portrait" horizontalDpi="4294967293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O47"/>
  <sheetViews>
    <sheetView zoomScaleNormal="100" workbookViewId="0">
      <selection activeCell="K35" sqref="K35"/>
    </sheetView>
  </sheetViews>
  <sheetFormatPr defaultRowHeight="15" customHeight="1"/>
  <cols>
    <col min="1" max="1" width="9.140625" style="30"/>
    <col min="2" max="16384" width="9.140625" style="29"/>
  </cols>
  <sheetData>
    <row r="1" spans="2:15" ht="59.25" customHeight="1">
      <c r="B1" s="147" t="s">
        <v>85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2:15" ht="15" customHeight="1">
      <c r="C2" s="37"/>
    </row>
    <row r="3" spans="2:15" ht="15" customHeight="1">
      <c r="C3" s="37"/>
    </row>
    <row r="4" spans="2:15" ht="15" customHeight="1">
      <c r="B4" s="151" t="s">
        <v>14</v>
      </c>
      <c r="C4" s="150"/>
      <c r="D4" s="28">
        <v>6</v>
      </c>
      <c r="E4" s="31"/>
    </row>
    <row r="5" spans="2:15" ht="15" customHeight="1">
      <c r="C5" s="37"/>
      <c r="E5" s="32"/>
    </row>
    <row r="6" spans="2:15" ht="15" customHeight="1">
      <c r="B6" s="36" t="s">
        <v>131</v>
      </c>
      <c r="C6" s="37"/>
      <c r="E6" s="33"/>
      <c r="F6" s="149" t="str">
        <f>IF(ISBLANK(D4),"",IF(D4&gt;D8,B4,B8))</f>
        <v>Пасечникова</v>
      </c>
      <c r="G6" s="150"/>
      <c r="H6" s="28">
        <v>5</v>
      </c>
      <c r="I6" s="31"/>
    </row>
    <row r="7" spans="2:15" ht="15" customHeight="1">
      <c r="C7" s="37"/>
      <c r="E7" s="33"/>
      <c r="I7" s="32"/>
    </row>
    <row r="8" spans="2:15" ht="15" customHeight="1">
      <c r="B8" s="151" t="s">
        <v>15</v>
      </c>
      <c r="C8" s="150"/>
      <c r="D8" s="28">
        <v>12</v>
      </c>
      <c r="E8" s="34"/>
      <c r="I8" s="33"/>
    </row>
    <row r="9" spans="2:15" ht="15" customHeight="1">
      <c r="C9" s="37"/>
      <c r="I9" s="33"/>
    </row>
    <row r="10" spans="2:15" ht="15" customHeight="1">
      <c r="C10" s="37"/>
      <c r="G10" s="36" t="s">
        <v>135</v>
      </c>
      <c r="H10" s="37"/>
      <c r="I10" s="33"/>
      <c r="J10" s="149" t="str">
        <f>IF(ISBLANK(H6),"",IF(H6&gt;H14,F6,F14))</f>
        <v>Данилов</v>
      </c>
      <c r="K10" s="151"/>
      <c r="L10" s="28">
        <v>13</v>
      </c>
      <c r="M10" s="31"/>
    </row>
    <row r="11" spans="2:15" ht="15" customHeight="1">
      <c r="C11" s="37"/>
      <c r="I11" s="33"/>
      <c r="M11" s="32"/>
    </row>
    <row r="12" spans="2:15" ht="15" customHeight="1">
      <c r="B12" s="151" t="s">
        <v>16</v>
      </c>
      <c r="C12" s="150"/>
      <c r="D12" s="28">
        <v>5</v>
      </c>
      <c r="E12" s="31"/>
      <c r="I12" s="33"/>
      <c r="M12" s="33"/>
    </row>
    <row r="13" spans="2:15" ht="15" customHeight="1">
      <c r="C13" s="37"/>
      <c r="E13" s="32"/>
      <c r="I13" s="33"/>
      <c r="M13" s="33"/>
    </row>
    <row r="14" spans="2:15" ht="15" customHeight="1">
      <c r="B14" s="36" t="s">
        <v>132</v>
      </c>
      <c r="C14" s="37"/>
      <c r="E14" s="33"/>
      <c r="F14" s="149" t="str">
        <f>IF(ISBLANK(D12),"",IF(D12&gt;D16,B12,B16))</f>
        <v>Данилов</v>
      </c>
      <c r="G14" s="150"/>
      <c r="H14" s="28">
        <v>13</v>
      </c>
      <c r="I14" s="34"/>
      <c r="M14" s="33"/>
    </row>
    <row r="15" spans="2:15" ht="15" customHeight="1">
      <c r="E15" s="33"/>
      <c r="M15" s="33"/>
    </row>
    <row r="16" spans="2:15" ht="15" customHeight="1">
      <c r="B16" s="151" t="s">
        <v>17</v>
      </c>
      <c r="C16" s="150"/>
      <c r="D16" s="28">
        <v>11</v>
      </c>
      <c r="E16" s="34"/>
      <c r="M16" s="33"/>
    </row>
    <row r="17" spans="2:15" ht="15" customHeight="1">
      <c r="M17" s="33"/>
    </row>
    <row r="18" spans="2:15" ht="15" customHeight="1">
      <c r="B18" s="36"/>
      <c r="K18" s="36" t="s">
        <v>137</v>
      </c>
      <c r="L18" s="37"/>
      <c r="M18" s="33"/>
      <c r="N18" s="149" t="str">
        <f>IF(ISBLANK(L10),"",IF(L10&gt;L26,J10,J26))</f>
        <v>Данилов</v>
      </c>
      <c r="O18" s="151"/>
    </row>
    <row r="19" spans="2:15" ht="15" customHeight="1">
      <c r="M19" s="33"/>
    </row>
    <row r="20" spans="2:15" ht="15" customHeight="1">
      <c r="B20" s="151" t="s">
        <v>18</v>
      </c>
      <c r="C20" s="150"/>
      <c r="D20" s="28">
        <v>13</v>
      </c>
      <c r="E20" s="31"/>
      <c r="M20" s="33"/>
    </row>
    <row r="21" spans="2:15" ht="15" customHeight="1">
      <c r="E21" s="32"/>
      <c r="M21" s="33"/>
    </row>
    <row r="22" spans="2:15" ht="15" customHeight="1">
      <c r="B22" s="36" t="s">
        <v>133</v>
      </c>
      <c r="C22" s="37"/>
      <c r="E22" s="33"/>
      <c r="F22" s="149" t="str">
        <f>IF(ISBLANK(D20),"",IF(D20&gt;D24,B20,B24))</f>
        <v>Мутовина</v>
      </c>
      <c r="G22" s="150"/>
      <c r="H22" s="28">
        <v>13</v>
      </c>
      <c r="I22" s="31"/>
      <c r="M22" s="33"/>
    </row>
    <row r="23" spans="2:15" ht="15" customHeight="1">
      <c r="E23" s="33"/>
      <c r="I23" s="32"/>
      <c r="M23" s="33"/>
    </row>
    <row r="24" spans="2:15" ht="15" customHeight="1">
      <c r="B24" s="151" t="s">
        <v>19</v>
      </c>
      <c r="C24" s="150"/>
      <c r="D24" s="28">
        <v>4</v>
      </c>
      <c r="E24" s="34"/>
      <c r="I24" s="33"/>
      <c r="M24" s="33"/>
    </row>
    <row r="25" spans="2:15" ht="15" customHeight="1">
      <c r="I25" s="33"/>
      <c r="M25" s="33"/>
    </row>
    <row r="26" spans="2:15" ht="15" customHeight="1">
      <c r="G26" s="36" t="s">
        <v>136</v>
      </c>
      <c r="H26" s="37"/>
      <c r="I26" s="33"/>
      <c r="J26" s="149" t="str">
        <f>IF(ISBLANK(H22),"",IF(H22&gt;H30,F22,F30))</f>
        <v>Мутовина</v>
      </c>
      <c r="K26" s="150"/>
      <c r="L26" s="28">
        <v>12</v>
      </c>
      <c r="M26" s="34"/>
    </row>
    <row r="27" spans="2:15" ht="15" customHeight="1">
      <c r="I27" s="33"/>
    </row>
    <row r="28" spans="2:15" ht="15" customHeight="1">
      <c r="B28" s="151" t="s">
        <v>20</v>
      </c>
      <c r="C28" s="150"/>
      <c r="D28" s="28">
        <v>10</v>
      </c>
      <c r="E28" s="31"/>
      <c r="I28" s="33"/>
    </row>
    <row r="29" spans="2:15" ht="15" customHeight="1">
      <c r="E29" s="32"/>
      <c r="I29" s="33"/>
    </row>
    <row r="30" spans="2:15" ht="15" customHeight="1">
      <c r="B30" s="36" t="s">
        <v>134</v>
      </c>
      <c r="C30" s="37"/>
      <c r="E30" s="33"/>
      <c r="F30" s="149" t="str">
        <f>IF(ISBLANK(D28),"",IF(D28&gt;D32,B28,B32))</f>
        <v>Попов Д.</v>
      </c>
      <c r="G30" s="150"/>
      <c r="H30" s="28">
        <v>10</v>
      </c>
      <c r="I30" s="34"/>
    </row>
    <row r="31" spans="2:15" ht="15" customHeight="1">
      <c r="E31" s="33"/>
    </row>
    <row r="32" spans="2:15" ht="15" customHeight="1">
      <c r="B32" s="151" t="s">
        <v>21</v>
      </c>
      <c r="C32" s="150"/>
      <c r="D32" s="28">
        <v>3</v>
      </c>
      <c r="E32" s="34"/>
    </row>
    <row r="36" spans="2:7" ht="15" customHeight="1">
      <c r="B36" s="151" t="str">
        <f>IF(ISBLANK(H6),"",IF(H6&gt;H14,F14,F6))</f>
        <v>Пасечникова</v>
      </c>
      <c r="C36" s="150"/>
      <c r="D36" s="28">
        <v>13</v>
      </c>
      <c r="E36" s="31"/>
      <c r="F36" s="152"/>
      <c r="G36" s="152"/>
    </row>
    <row r="37" spans="2:7" ht="15" customHeight="1">
      <c r="E37" s="32"/>
    </row>
    <row r="38" spans="2:7" ht="15" customHeight="1">
      <c r="C38" s="36" t="s">
        <v>138</v>
      </c>
      <c r="E38" s="33"/>
      <c r="F38" s="149" t="str">
        <f>IF(ISBLANK(D36),"",IF(D36&gt;D40,B36,B40))</f>
        <v>Пасечникова</v>
      </c>
      <c r="G38" s="151"/>
    </row>
    <row r="39" spans="2:7" ht="15" customHeight="1">
      <c r="E39" s="33"/>
    </row>
    <row r="40" spans="2:7" ht="15" customHeight="1">
      <c r="B40" s="151" t="str">
        <f>IF(ISBLANK(H22),"",IF(H22&gt;H30,F30,F22))</f>
        <v>Попов Д.</v>
      </c>
      <c r="C40" s="150"/>
      <c r="D40" s="28">
        <v>12</v>
      </c>
      <c r="E40" s="34"/>
    </row>
    <row r="44" spans="2:7" ht="15" customHeight="1">
      <c r="B44" s="90" t="s">
        <v>99</v>
      </c>
      <c r="C44" s="90"/>
      <c r="D44" s="90"/>
    </row>
    <row r="45" spans="2:7" ht="15" customHeight="1">
      <c r="B45" s="90"/>
      <c r="C45" s="90"/>
      <c r="D45" s="90"/>
    </row>
    <row r="46" spans="2:7" ht="15" customHeight="1">
      <c r="B46" s="90"/>
      <c r="C46" s="90"/>
      <c r="D46" s="90"/>
    </row>
    <row r="47" spans="2:7" ht="15" customHeight="1">
      <c r="B47" s="90" t="s">
        <v>130</v>
      </c>
      <c r="C47" s="90"/>
      <c r="D47" s="90"/>
    </row>
  </sheetData>
  <mergeCells count="20">
    <mergeCell ref="F22:G22"/>
    <mergeCell ref="B16:C16"/>
    <mergeCell ref="F14:G14"/>
    <mergeCell ref="J26:K26"/>
    <mergeCell ref="B24:C24"/>
    <mergeCell ref="B20:C20"/>
    <mergeCell ref="B1:O1"/>
    <mergeCell ref="B4:C4"/>
    <mergeCell ref="F6:G6"/>
    <mergeCell ref="B8:C8"/>
    <mergeCell ref="B12:C12"/>
    <mergeCell ref="J10:K10"/>
    <mergeCell ref="N18:O18"/>
    <mergeCell ref="B40:C40"/>
    <mergeCell ref="B28:C28"/>
    <mergeCell ref="F30:G30"/>
    <mergeCell ref="B32:C32"/>
    <mergeCell ref="B36:C36"/>
    <mergeCell ref="F36:G36"/>
    <mergeCell ref="F38:G38"/>
  </mergeCells>
  <phoneticPr fontId="10" type="noConversion"/>
  <pageMargins left="0.25" right="0.25" top="0.75" bottom="0.75" header="0.3" footer="0.3"/>
  <pageSetup paperSize="9" scale="78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1"/>
  <sheetViews>
    <sheetView workbookViewId="0">
      <selection activeCell="K22" sqref="K22"/>
    </sheetView>
  </sheetViews>
  <sheetFormatPr defaultRowHeight="15" customHeight="1"/>
  <cols>
    <col min="1" max="1" width="9.140625" style="30"/>
    <col min="2" max="16384" width="9.140625" style="29"/>
  </cols>
  <sheetData>
    <row r="1" spans="2:15" ht="59.25" customHeight="1">
      <c r="B1" s="147" t="s">
        <v>86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72"/>
      <c r="N1" s="72"/>
      <c r="O1" s="72"/>
    </row>
    <row r="2" spans="2:15" ht="15" customHeight="1">
      <c r="C2" s="37"/>
    </row>
    <row r="3" spans="2:15" ht="15" customHeight="1">
      <c r="C3" s="37"/>
    </row>
    <row r="4" spans="2:15" ht="15" customHeight="1">
      <c r="B4" s="151" t="s">
        <v>14</v>
      </c>
      <c r="C4" s="150"/>
      <c r="D4" s="28">
        <v>9</v>
      </c>
      <c r="E4" s="31"/>
    </row>
    <row r="5" spans="2:15" ht="15" customHeight="1">
      <c r="C5" s="37"/>
      <c r="E5" s="32"/>
    </row>
    <row r="6" spans="2:15" ht="15" customHeight="1">
      <c r="B6" s="36" t="s">
        <v>137</v>
      </c>
      <c r="C6" s="37"/>
      <c r="E6" s="33"/>
      <c r="F6" s="149" t="str">
        <f>IF(ISBLANK(D4),"",IF(D4&gt;D8,B4,B8))</f>
        <v>Лукин</v>
      </c>
      <c r="G6" s="150"/>
      <c r="H6" s="28">
        <v>13</v>
      </c>
      <c r="I6" s="31"/>
    </row>
    <row r="7" spans="2:15" ht="15" customHeight="1">
      <c r="C7" s="37"/>
      <c r="E7" s="33"/>
      <c r="I7" s="32"/>
    </row>
    <row r="8" spans="2:15" ht="15" customHeight="1">
      <c r="B8" s="151" t="s">
        <v>16</v>
      </c>
      <c r="C8" s="150"/>
      <c r="D8" s="28">
        <v>8</v>
      </c>
      <c r="E8" s="34"/>
      <c r="I8" s="33"/>
    </row>
    <row r="9" spans="2:15" ht="15" customHeight="1">
      <c r="C9" s="37"/>
      <c r="I9" s="33"/>
    </row>
    <row r="10" spans="2:15" ht="15" customHeight="1">
      <c r="C10" s="37"/>
      <c r="G10" s="36" t="s">
        <v>131</v>
      </c>
      <c r="H10" s="37"/>
      <c r="I10" s="33"/>
      <c r="J10" s="149" t="str">
        <f>IF(ISBLANK(H6),"",IF(H6&gt;H14,F6,F14))</f>
        <v>Лукин</v>
      </c>
      <c r="K10" s="151"/>
      <c r="L10" s="62"/>
      <c r="M10" s="35"/>
    </row>
    <row r="11" spans="2:15" ht="15" customHeight="1">
      <c r="C11" s="37"/>
      <c r="I11" s="33"/>
      <c r="M11" s="35"/>
    </row>
    <row r="12" spans="2:15" ht="15" customHeight="1">
      <c r="B12" s="151" t="s">
        <v>19</v>
      </c>
      <c r="C12" s="150"/>
      <c r="D12" s="28">
        <v>5</v>
      </c>
      <c r="E12" s="31"/>
      <c r="I12" s="33"/>
      <c r="M12" s="35"/>
    </row>
    <row r="13" spans="2:15" ht="15" customHeight="1">
      <c r="C13" s="37"/>
      <c r="E13" s="32"/>
      <c r="I13" s="33"/>
      <c r="M13" s="35"/>
    </row>
    <row r="14" spans="2:15" ht="15" customHeight="1">
      <c r="B14" s="36" t="s">
        <v>138</v>
      </c>
      <c r="C14" s="37"/>
      <c r="E14" s="33"/>
      <c r="F14" s="149" t="str">
        <f>IF(ISBLANK(D12),"",IF(D12&gt;D16,B12,B16))</f>
        <v>Франк</v>
      </c>
      <c r="G14" s="150"/>
      <c r="H14" s="28">
        <v>7</v>
      </c>
      <c r="I14" s="34"/>
      <c r="M14" s="35"/>
    </row>
    <row r="15" spans="2:15" ht="15" customHeight="1">
      <c r="E15" s="33"/>
      <c r="M15" s="35"/>
    </row>
    <row r="16" spans="2:15" ht="15" customHeight="1">
      <c r="B16" s="151" t="s">
        <v>21</v>
      </c>
      <c r="C16" s="150"/>
      <c r="D16" s="28">
        <v>4</v>
      </c>
      <c r="E16" s="34"/>
      <c r="M16" s="35"/>
    </row>
    <row r="17" spans="2:13" ht="15" customHeight="1">
      <c r="M17" s="35"/>
    </row>
    <row r="20" spans="2:13" ht="15" customHeight="1">
      <c r="B20" s="151" t="str">
        <f>IF(ISBLANK(D4),"",IF(D4&gt;D8,B8,B4))</f>
        <v>Татьянц</v>
      </c>
      <c r="C20" s="150"/>
      <c r="D20" s="28">
        <v>6</v>
      </c>
      <c r="E20" s="31"/>
      <c r="F20" s="152"/>
      <c r="G20" s="152"/>
    </row>
    <row r="21" spans="2:13" ht="15" customHeight="1">
      <c r="E21" s="32"/>
    </row>
    <row r="22" spans="2:13" ht="15" customHeight="1">
      <c r="C22" s="36" t="s">
        <v>132</v>
      </c>
      <c r="E22" s="33"/>
      <c r="F22" s="149" t="str">
        <f>IF(ISBLANK(D20),"",IF(D20&gt;D24,B20,B24))</f>
        <v>Харьковский</v>
      </c>
      <c r="G22" s="151"/>
    </row>
    <row r="23" spans="2:13" ht="15" customHeight="1">
      <c r="E23" s="33"/>
    </row>
    <row r="24" spans="2:13" ht="15" customHeight="1">
      <c r="B24" s="151" t="str">
        <f>IF(ISBLANK(D12),"",IF(D12&gt;D16,B16,B12))</f>
        <v>Харьковский</v>
      </c>
      <c r="C24" s="150"/>
      <c r="D24" s="28">
        <v>13</v>
      </c>
      <c r="E24" s="34"/>
    </row>
    <row r="28" spans="2:13" ht="15" customHeight="1">
      <c r="B28" s="90" t="s">
        <v>99</v>
      </c>
      <c r="C28" s="90"/>
      <c r="D28" s="90"/>
    </row>
    <row r="29" spans="2:13" ht="15" customHeight="1">
      <c r="B29" s="90"/>
      <c r="C29" s="90"/>
      <c r="D29" s="90"/>
    </row>
    <row r="30" spans="2:13" ht="15" customHeight="1">
      <c r="B30" s="90"/>
      <c r="C30" s="90"/>
      <c r="D30" s="90"/>
    </row>
    <row r="31" spans="2:13" ht="15" customHeight="1">
      <c r="B31" s="90" t="s">
        <v>130</v>
      </c>
      <c r="C31" s="90"/>
      <c r="D31" s="90"/>
    </row>
  </sheetData>
  <mergeCells count="12">
    <mergeCell ref="J10:K10"/>
    <mergeCell ref="B4:C4"/>
    <mergeCell ref="F6:G6"/>
    <mergeCell ref="B8:C8"/>
    <mergeCell ref="B1:L1"/>
    <mergeCell ref="B24:C24"/>
    <mergeCell ref="B20:C20"/>
    <mergeCell ref="F20:G20"/>
    <mergeCell ref="B12:C12"/>
    <mergeCell ref="F14:G14"/>
    <mergeCell ref="B16:C16"/>
    <mergeCell ref="F22:G22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6"/>
  <sheetViews>
    <sheetView zoomScaleNormal="100" workbookViewId="0">
      <selection activeCell="L35" sqref="L35"/>
    </sheetView>
  </sheetViews>
  <sheetFormatPr defaultRowHeight="15" customHeight="1"/>
  <cols>
    <col min="1" max="1" width="9.140625" style="30"/>
    <col min="2" max="16384" width="9.140625" style="29"/>
  </cols>
  <sheetData>
    <row r="1" spans="2:15" ht="59.25" customHeight="1">
      <c r="B1" s="147" t="s">
        <v>87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2:15" ht="15" customHeight="1">
      <c r="C2" s="37"/>
    </row>
    <row r="3" spans="2:15" ht="15" customHeight="1">
      <c r="C3" s="37"/>
    </row>
    <row r="4" spans="2:15" ht="15" customHeight="1">
      <c r="B4" s="151" t="s">
        <v>22</v>
      </c>
      <c r="C4" s="150"/>
      <c r="D4" s="28">
        <v>10</v>
      </c>
      <c r="E4" s="31"/>
    </row>
    <row r="5" spans="2:15" ht="15" customHeight="1">
      <c r="C5" s="37"/>
      <c r="E5" s="32"/>
    </row>
    <row r="6" spans="2:15" ht="15" customHeight="1">
      <c r="B6" s="36" t="s">
        <v>135</v>
      </c>
      <c r="C6" s="37"/>
      <c r="E6" s="33"/>
      <c r="F6" s="149" t="str">
        <f>IF(ISBLANK(D4),"",IF(D4&gt;D8,B4,B8))</f>
        <v>Попов М.</v>
      </c>
      <c r="G6" s="150"/>
      <c r="H6" s="28">
        <v>5</v>
      </c>
      <c r="I6" s="31"/>
    </row>
    <row r="7" spans="2:15" ht="15" customHeight="1">
      <c r="C7" s="37"/>
      <c r="E7" s="33"/>
      <c r="I7" s="32"/>
    </row>
    <row r="8" spans="2:15" ht="15" customHeight="1">
      <c r="B8" s="151" t="s">
        <v>23</v>
      </c>
      <c r="C8" s="150"/>
      <c r="D8" s="28">
        <v>7</v>
      </c>
      <c r="E8" s="34"/>
      <c r="I8" s="33"/>
    </row>
    <row r="9" spans="2:15" ht="15" customHeight="1">
      <c r="C9" s="37"/>
      <c r="I9" s="33"/>
    </row>
    <row r="10" spans="2:15" ht="15" customHeight="1">
      <c r="C10" s="37"/>
      <c r="G10" s="36" t="s">
        <v>131</v>
      </c>
      <c r="H10" s="37"/>
      <c r="I10" s="33"/>
      <c r="J10" s="149" t="str">
        <f>IF(ISBLANK(H6),"",IF(H6&gt;H14,F6,F14))</f>
        <v>Майсов</v>
      </c>
      <c r="K10" s="151"/>
      <c r="L10" s="28">
        <v>9</v>
      </c>
      <c r="M10" s="31"/>
    </row>
    <row r="11" spans="2:15" ht="15" customHeight="1">
      <c r="C11" s="37"/>
      <c r="I11" s="33"/>
      <c r="M11" s="32"/>
    </row>
    <row r="12" spans="2:15" ht="15" customHeight="1">
      <c r="B12" s="151" t="s">
        <v>24</v>
      </c>
      <c r="C12" s="150"/>
      <c r="D12" s="28">
        <v>1</v>
      </c>
      <c r="E12" s="31"/>
      <c r="I12" s="33"/>
      <c r="M12" s="33"/>
    </row>
    <row r="13" spans="2:15" ht="15" customHeight="1">
      <c r="C13" s="37"/>
      <c r="E13" s="32"/>
      <c r="I13" s="33"/>
      <c r="M13" s="33"/>
    </row>
    <row r="14" spans="2:15" ht="15" customHeight="1">
      <c r="B14" s="36" t="s">
        <v>136</v>
      </c>
      <c r="C14" s="37"/>
      <c r="E14" s="33"/>
      <c r="F14" s="149" t="str">
        <f>IF(ISBLANK(D12),"",IF(D12&gt;D16,B12,B16))</f>
        <v>Майсов</v>
      </c>
      <c r="G14" s="150"/>
      <c r="H14" s="28">
        <v>9</v>
      </c>
      <c r="I14" s="34"/>
      <c r="M14" s="33"/>
    </row>
    <row r="15" spans="2:15" ht="15" customHeight="1">
      <c r="E15" s="33"/>
      <c r="M15" s="33"/>
    </row>
    <row r="16" spans="2:15" ht="15" customHeight="1">
      <c r="B16" s="151" t="s">
        <v>25</v>
      </c>
      <c r="C16" s="150"/>
      <c r="D16" s="28">
        <v>13</v>
      </c>
      <c r="E16" s="34"/>
      <c r="M16" s="33"/>
    </row>
    <row r="17" spans="2:15" ht="15" customHeight="1">
      <c r="M17" s="33"/>
    </row>
    <row r="18" spans="2:15" ht="15" customHeight="1">
      <c r="B18" s="36"/>
      <c r="K18" s="36" t="s">
        <v>133</v>
      </c>
      <c r="L18" s="37"/>
      <c r="M18" s="33"/>
      <c r="N18" s="149" t="str">
        <f>IF(ISBLANK(L10),"",IF(L10&gt;L26,J10,J26))</f>
        <v>Майсов</v>
      </c>
      <c r="O18" s="151"/>
    </row>
    <row r="19" spans="2:15" ht="15" customHeight="1">
      <c r="M19" s="33"/>
    </row>
    <row r="20" spans="2:15" ht="15" customHeight="1">
      <c r="B20" s="151" t="s">
        <v>26</v>
      </c>
      <c r="C20" s="150"/>
      <c r="D20" s="28">
        <v>7</v>
      </c>
      <c r="E20" s="31"/>
      <c r="M20" s="33"/>
    </row>
    <row r="21" spans="2:15" ht="15" customHeight="1">
      <c r="E21" s="32"/>
      <c r="M21" s="33"/>
    </row>
    <row r="22" spans="2:15" ht="15" customHeight="1">
      <c r="B22" s="36" t="s">
        <v>137</v>
      </c>
      <c r="C22" s="37"/>
      <c r="E22" s="33"/>
      <c r="F22" s="149" t="str">
        <f>IF(ISBLANK(D20),"",IF(D20&gt;D24,B20,B24))</f>
        <v>Кананыхин</v>
      </c>
      <c r="G22" s="150"/>
      <c r="H22" s="28">
        <v>13</v>
      </c>
      <c r="I22" s="31"/>
      <c r="M22" s="33"/>
    </row>
    <row r="23" spans="2:15" ht="15" customHeight="1">
      <c r="E23" s="33"/>
      <c r="I23" s="32"/>
      <c r="M23" s="33"/>
    </row>
    <row r="24" spans="2:15" ht="15" customHeight="1">
      <c r="B24" s="151" t="s">
        <v>27</v>
      </c>
      <c r="C24" s="150"/>
      <c r="D24" s="28">
        <v>13</v>
      </c>
      <c r="E24" s="34"/>
      <c r="I24" s="33"/>
      <c r="M24" s="33"/>
    </row>
    <row r="25" spans="2:15" ht="15" customHeight="1">
      <c r="I25" s="33"/>
      <c r="M25" s="33"/>
    </row>
    <row r="26" spans="2:15" ht="15" customHeight="1">
      <c r="G26" s="36" t="s">
        <v>132</v>
      </c>
      <c r="H26" s="37"/>
      <c r="I26" s="33"/>
      <c r="J26" s="149" t="str">
        <f>IF(ISBLANK(H22),"",IF(H22&gt;H30,F22,F30))</f>
        <v>Кананыхин</v>
      </c>
      <c r="K26" s="150"/>
      <c r="L26" s="28">
        <v>6</v>
      </c>
      <c r="M26" s="34"/>
    </row>
    <row r="27" spans="2:15" ht="15" customHeight="1">
      <c r="I27" s="33"/>
    </row>
    <row r="28" spans="2:15" ht="15" customHeight="1">
      <c r="B28" s="151" t="s">
        <v>28</v>
      </c>
      <c r="C28" s="150"/>
      <c r="D28" s="28">
        <v>5</v>
      </c>
      <c r="E28" s="31"/>
      <c r="I28" s="33"/>
    </row>
    <row r="29" spans="2:15" ht="15" customHeight="1">
      <c r="E29" s="32"/>
      <c r="I29" s="33"/>
    </row>
    <row r="30" spans="2:15" ht="15" customHeight="1">
      <c r="B30" s="36" t="s">
        <v>138</v>
      </c>
      <c r="C30" s="37"/>
      <c r="E30" s="33"/>
      <c r="F30" s="149" t="str">
        <f>IF(ISBLANK(D28),"",IF(D28&gt;D32,B28,B32))</f>
        <v>Петраков</v>
      </c>
      <c r="G30" s="150"/>
      <c r="H30" s="28">
        <v>5</v>
      </c>
      <c r="I30" s="34"/>
    </row>
    <row r="31" spans="2:15" ht="15" customHeight="1">
      <c r="E31" s="33"/>
    </row>
    <row r="32" spans="2:15" ht="15" customHeight="1">
      <c r="B32" s="151" t="s">
        <v>29</v>
      </c>
      <c r="C32" s="150"/>
      <c r="D32" s="28">
        <v>13</v>
      </c>
      <c r="E32" s="34"/>
    </row>
    <row r="36" spans="2:7" ht="15" customHeight="1">
      <c r="B36" s="151" t="str">
        <f>IF(ISBLANK(H6),"",IF(H6&gt;H14,F14,F6))</f>
        <v>Попов М.</v>
      </c>
      <c r="C36" s="150"/>
      <c r="D36" s="28">
        <v>8</v>
      </c>
      <c r="E36" s="31"/>
      <c r="F36" s="152"/>
      <c r="G36" s="152"/>
    </row>
    <row r="37" spans="2:7" ht="15" customHeight="1">
      <c r="E37" s="32"/>
    </row>
    <row r="38" spans="2:7" ht="15" customHeight="1">
      <c r="C38" s="36" t="s">
        <v>134</v>
      </c>
      <c r="E38" s="33"/>
      <c r="F38" s="149" t="str">
        <f>IF(ISBLANK(D36),"",IF(D36&gt;D40,B36,B40))</f>
        <v>Петраков</v>
      </c>
      <c r="G38" s="151"/>
    </row>
    <row r="39" spans="2:7" ht="15" customHeight="1">
      <c r="E39" s="33"/>
    </row>
    <row r="40" spans="2:7" ht="15" customHeight="1">
      <c r="B40" s="151" t="str">
        <f>IF(ISBLANK(H22),"",IF(H22&gt;H30,F30,F22))</f>
        <v>Петраков</v>
      </c>
      <c r="C40" s="150"/>
      <c r="D40" s="28">
        <v>11</v>
      </c>
      <c r="E40" s="34"/>
    </row>
    <row r="43" spans="2:7" ht="15" customHeight="1">
      <c r="B43" s="90" t="s">
        <v>99</v>
      </c>
      <c r="C43" s="90"/>
      <c r="D43" s="90"/>
    </row>
    <row r="44" spans="2:7" ht="15" customHeight="1">
      <c r="B44" s="90"/>
      <c r="C44" s="90"/>
      <c r="D44" s="90"/>
    </row>
    <row r="45" spans="2:7" ht="15" customHeight="1">
      <c r="B45" s="90"/>
      <c r="C45" s="90"/>
      <c r="D45" s="90"/>
    </row>
    <row r="46" spans="2:7" ht="15" customHeight="1">
      <c r="B46" s="90" t="s">
        <v>130</v>
      </c>
      <c r="C46" s="90"/>
      <c r="D46" s="90"/>
    </row>
  </sheetData>
  <mergeCells count="20">
    <mergeCell ref="B40:C40"/>
    <mergeCell ref="B28:C28"/>
    <mergeCell ref="F30:G30"/>
    <mergeCell ref="B32:C32"/>
    <mergeCell ref="B36:C36"/>
    <mergeCell ref="F36:G36"/>
    <mergeCell ref="F38:G38"/>
    <mergeCell ref="B1:O1"/>
    <mergeCell ref="B4:C4"/>
    <mergeCell ref="F6:G6"/>
    <mergeCell ref="B8:C8"/>
    <mergeCell ref="B12:C12"/>
    <mergeCell ref="N18:O18"/>
    <mergeCell ref="F22:G22"/>
    <mergeCell ref="B16:C16"/>
    <mergeCell ref="F14:G14"/>
    <mergeCell ref="J26:K26"/>
    <mergeCell ref="B24:C24"/>
    <mergeCell ref="J10:K10"/>
    <mergeCell ref="B20:C20"/>
  </mergeCells>
  <phoneticPr fontId="10" type="noConversion"/>
  <pageMargins left="0.25" right="0.25" top="0.75" bottom="0.75" header="0.3" footer="0.3"/>
  <pageSetup paperSize="9" scale="78" orientation="landscape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M31"/>
  <sheetViews>
    <sheetView workbookViewId="0">
      <selection activeCell="K20" sqref="K20"/>
    </sheetView>
  </sheetViews>
  <sheetFormatPr defaultRowHeight="15" customHeight="1"/>
  <cols>
    <col min="1" max="1" width="9.140625" style="30"/>
    <col min="2" max="16384" width="9.140625" style="29"/>
  </cols>
  <sheetData>
    <row r="1" spans="2:13" ht="59.25" customHeight="1">
      <c r="B1" s="147" t="s">
        <v>88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2:13" ht="15" customHeight="1">
      <c r="C2" s="37"/>
    </row>
    <row r="3" spans="2:13" ht="15" customHeight="1">
      <c r="C3" s="37"/>
    </row>
    <row r="4" spans="2:13" ht="15" customHeight="1">
      <c r="B4" s="151" t="s">
        <v>23</v>
      </c>
      <c r="C4" s="150"/>
      <c r="D4" s="28">
        <v>12</v>
      </c>
      <c r="E4" s="31"/>
    </row>
    <row r="5" spans="2:13" ht="15" customHeight="1">
      <c r="C5" s="37"/>
      <c r="E5" s="32"/>
    </row>
    <row r="6" spans="2:13" ht="15" customHeight="1">
      <c r="B6" s="36" t="s">
        <v>131</v>
      </c>
      <c r="C6" s="37"/>
      <c r="E6" s="33"/>
      <c r="F6" s="149" t="str">
        <f>IF(ISBLANK(D4),"",IF(D4&gt;D8,B4,B8))</f>
        <v>Оноприенко</v>
      </c>
      <c r="G6" s="150"/>
      <c r="H6" s="28">
        <v>0</v>
      </c>
      <c r="I6" s="31"/>
    </row>
    <row r="7" spans="2:13" ht="15" customHeight="1">
      <c r="C7" s="37"/>
      <c r="E7" s="33"/>
      <c r="I7" s="32"/>
    </row>
    <row r="8" spans="2:13" ht="15" customHeight="1">
      <c r="B8" s="151" t="s">
        <v>24</v>
      </c>
      <c r="C8" s="150"/>
      <c r="D8" s="28">
        <v>11</v>
      </c>
      <c r="E8" s="34"/>
      <c r="I8" s="33"/>
    </row>
    <row r="9" spans="2:13" ht="15" customHeight="1">
      <c r="C9" s="37"/>
      <c r="I9" s="33"/>
    </row>
    <row r="10" spans="2:13" ht="15" customHeight="1">
      <c r="C10" s="37"/>
      <c r="G10" s="36" t="s">
        <v>133</v>
      </c>
      <c r="H10" s="37"/>
      <c r="I10" s="33"/>
      <c r="J10" s="149" t="str">
        <f>IF(ISBLANK(H6),"",IF(H6&gt;H14,F6,F14))</f>
        <v>Карасёв</v>
      </c>
      <c r="K10" s="151"/>
      <c r="L10" s="62"/>
      <c r="M10" s="35"/>
    </row>
    <row r="11" spans="2:13" ht="15" customHeight="1">
      <c r="C11" s="37"/>
      <c r="I11" s="33"/>
      <c r="M11" s="35"/>
    </row>
    <row r="12" spans="2:13" ht="15" customHeight="1">
      <c r="B12" s="151" t="s">
        <v>26</v>
      </c>
      <c r="C12" s="150"/>
      <c r="D12" s="28">
        <v>7</v>
      </c>
      <c r="E12" s="31"/>
      <c r="I12" s="33"/>
      <c r="M12" s="35"/>
    </row>
    <row r="13" spans="2:13" ht="15" customHeight="1">
      <c r="C13" s="37"/>
      <c r="E13" s="32"/>
      <c r="I13" s="33"/>
      <c r="M13" s="35"/>
    </row>
    <row r="14" spans="2:13" ht="15" customHeight="1">
      <c r="B14" s="36" t="s">
        <v>132</v>
      </c>
      <c r="C14" s="37"/>
      <c r="E14" s="33"/>
      <c r="F14" s="149" t="str">
        <f>IF(ISBLANK(D12),"",IF(D12&gt;D16,B12,B16))</f>
        <v>Карасёв</v>
      </c>
      <c r="G14" s="150"/>
      <c r="H14" s="28">
        <v>13</v>
      </c>
      <c r="I14" s="34"/>
      <c r="M14" s="35"/>
    </row>
    <row r="15" spans="2:13" ht="15" customHeight="1">
      <c r="E15" s="33"/>
      <c r="M15" s="35"/>
    </row>
    <row r="16" spans="2:13" ht="15" customHeight="1">
      <c r="B16" s="151" t="s">
        <v>89</v>
      </c>
      <c r="C16" s="150"/>
      <c r="D16" s="28">
        <v>13</v>
      </c>
      <c r="E16" s="34"/>
      <c r="M16" s="35"/>
    </row>
    <row r="17" spans="2:13" ht="15" customHeight="1">
      <c r="M17" s="35"/>
    </row>
    <row r="20" spans="2:13" ht="15" customHeight="1">
      <c r="B20" s="151" t="str">
        <f>IF(ISBLANK(D4),"",IF(D4&gt;D8,B8,B4))</f>
        <v>Попов А.</v>
      </c>
      <c r="C20" s="150"/>
      <c r="D20" s="28">
        <v>13</v>
      </c>
      <c r="E20" s="31"/>
      <c r="F20" s="152"/>
      <c r="G20" s="152"/>
    </row>
    <row r="21" spans="2:13" ht="15" customHeight="1">
      <c r="E21" s="32"/>
    </row>
    <row r="22" spans="2:13" ht="15" customHeight="1">
      <c r="C22" s="36" t="s">
        <v>134</v>
      </c>
      <c r="E22" s="33"/>
      <c r="F22" s="149" t="str">
        <f>IF(ISBLANK(D20),"",IF(D20&gt;D24,B20,B24))</f>
        <v>Попов А.</v>
      </c>
      <c r="G22" s="151"/>
    </row>
    <row r="23" spans="2:13" ht="15" customHeight="1">
      <c r="E23" s="33"/>
    </row>
    <row r="24" spans="2:13" ht="15" customHeight="1">
      <c r="B24" s="151" t="str">
        <f>IF(ISBLANK(D12),"",IF(D12&gt;D16,B16,B12))</f>
        <v>Накахидзе</v>
      </c>
      <c r="C24" s="150"/>
      <c r="D24" s="28">
        <v>7</v>
      </c>
      <c r="E24" s="34"/>
    </row>
    <row r="28" spans="2:13" ht="15" customHeight="1">
      <c r="B28" s="90" t="s">
        <v>99</v>
      </c>
      <c r="C28" s="90"/>
      <c r="D28" s="90"/>
    </row>
    <row r="29" spans="2:13" ht="15" customHeight="1">
      <c r="B29" s="90"/>
      <c r="C29" s="90"/>
      <c r="D29" s="90"/>
    </row>
    <row r="30" spans="2:13" ht="15" customHeight="1">
      <c r="B30" s="90"/>
      <c r="C30" s="90"/>
      <c r="D30" s="90"/>
    </row>
    <row r="31" spans="2:13" ht="15" customHeight="1">
      <c r="B31" s="90" t="s">
        <v>130</v>
      </c>
      <c r="C31" s="90"/>
      <c r="D31" s="90"/>
    </row>
  </sheetData>
  <mergeCells count="12">
    <mergeCell ref="F6:G6"/>
    <mergeCell ref="B8:C8"/>
    <mergeCell ref="B1:L1"/>
    <mergeCell ref="J10:K10"/>
    <mergeCell ref="F22:G22"/>
    <mergeCell ref="B24:C24"/>
    <mergeCell ref="B20:C20"/>
    <mergeCell ref="F20:G20"/>
    <mergeCell ref="B16:C16"/>
    <mergeCell ref="B12:C12"/>
    <mergeCell ref="F14:G14"/>
    <mergeCell ref="B4:C4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C000"/>
  </sheetPr>
  <dimension ref="A1:K52"/>
  <sheetViews>
    <sheetView zoomScaleNormal="100" workbookViewId="0">
      <selection activeCell="B40" sqref="B40:D43"/>
    </sheetView>
  </sheetViews>
  <sheetFormatPr defaultRowHeight="15"/>
  <cols>
    <col min="2" max="2" width="23.85546875" customWidth="1"/>
    <col min="3" max="3" width="22.42578125" customWidth="1"/>
    <col min="4" max="4" width="36.7109375" customWidth="1"/>
  </cols>
  <sheetData>
    <row r="1" spans="1:11" ht="39.75" customHeight="1">
      <c r="A1" s="140" t="s">
        <v>90</v>
      </c>
      <c r="B1" s="140"/>
      <c r="C1" s="140"/>
      <c r="D1" s="140"/>
      <c r="E1" s="73"/>
      <c r="F1" s="73"/>
      <c r="G1" s="73"/>
      <c r="H1" s="73"/>
      <c r="I1" s="73"/>
      <c r="J1" s="73"/>
      <c r="K1" s="73"/>
    </row>
    <row r="2" spans="1:11" ht="103.5" customHeight="1">
      <c r="A2" s="141" t="s">
        <v>109</v>
      </c>
      <c r="B2" s="141"/>
      <c r="C2" s="141"/>
      <c r="D2" s="141"/>
      <c r="E2" s="74"/>
      <c r="F2" s="74"/>
      <c r="G2" s="75"/>
      <c r="H2" s="75"/>
      <c r="I2" s="75"/>
      <c r="J2" s="75"/>
    </row>
    <row r="3" spans="1:11" ht="15.75" thickBot="1"/>
    <row r="4" spans="1:11">
      <c r="A4" s="76" t="s">
        <v>91</v>
      </c>
      <c r="B4" s="77" t="s">
        <v>92</v>
      </c>
      <c r="C4" s="77" t="s">
        <v>93</v>
      </c>
      <c r="D4" s="98" t="s">
        <v>94</v>
      </c>
    </row>
    <row r="5" spans="1:11" ht="15.95" customHeight="1">
      <c r="A5" s="80">
        <v>1</v>
      </c>
      <c r="B5" s="81" t="s">
        <v>33</v>
      </c>
      <c r="C5" s="81" t="s">
        <v>98</v>
      </c>
      <c r="D5" s="101">
        <v>20</v>
      </c>
    </row>
    <row r="6" spans="1:11" ht="15.95" customHeight="1">
      <c r="A6" s="80">
        <v>1</v>
      </c>
      <c r="B6" s="81" t="s">
        <v>107</v>
      </c>
      <c r="C6" s="81" t="s">
        <v>96</v>
      </c>
      <c r="D6" s="101">
        <v>20</v>
      </c>
      <c r="F6" s="84"/>
      <c r="G6" s="84"/>
      <c r="H6" s="84"/>
      <c r="I6" s="84"/>
      <c r="J6" s="84"/>
    </row>
    <row r="7" spans="1:11" ht="15.95" customHeight="1">
      <c r="A7" s="80">
        <v>2</v>
      </c>
      <c r="B7" s="81" t="s">
        <v>108</v>
      </c>
      <c r="C7" s="81" t="s">
        <v>96</v>
      </c>
      <c r="D7" s="101">
        <v>17</v>
      </c>
      <c r="F7" s="84"/>
      <c r="G7" s="84"/>
      <c r="H7" s="84"/>
      <c r="I7" s="84"/>
      <c r="J7" s="84"/>
    </row>
    <row r="8" spans="1:11" ht="15.95" customHeight="1">
      <c r="A8" s="80">
        <v>2</v>
      </c>
      <c r="B8" s="81" t="s">
        <v>45</v>
      </c>
      <c r="C8" s="81" t="s">
        <v>98</v>
      </c>
      <c r="D8" s="101">
        <v>17</v>
      </c>
      <c r="F8" s="84"/>
      <c r="G8" s="84"/>
      <c r="H8" s="84"/>
      <c r="I8" s="84"/>
      <c r="J8" s="84"/>
    </row>
    <row r="9" spans="1:11" ht="15.95" customHeight="1">
      <c r="A9" s="80">
        <v>3</v>
      </c>
      <c r="B9" s="81" t="s">
        <v>46</v>
      </c>
      <c r="C9" s="81" t="s">
        <v>96</v>
      </c>
      <c r="D9" s="101">
        <v>15</v>
      </c>
      <c r="F9" s="84"/>
      <c r="G9" s="84"/>
      <c r="H9" s="84"/>
      <c r="I9" s="84"/>
      <c r="J9" s="84"/>
    </row>
    <row r="10" spans="1:11" ht="15.95" customHeight="1">
      <c r="A10" s="80">
        <v>3</v>
      </c>
      <c r="B10" s="81" t="s">
        <v>43</v>
      </c>
      <c r="C10" s="81" t="s">
        <v>98</v>
      </c>
      <c r="D10" s="101">
        <v>15</v>
      </c>
      <c r="F10" s="84"/>
      <c r="G10" s="84"/>
      <c r="H10" s="84"/>
      <c r="I10" s="84"/>
      <c r="J10" s="84"/>
    </row>
    <row r="11" spans="1:11" ht="15.95" customHeight="1">
      <c r="A11" s="80">
        <v>4</v>
      </c>
      <c r="B11" s="93" t="s">
        <v>110</v>
      </c>
      <c r="C11" s="81" t="s">
        <v>98</v>
      </c>
      <c r="D11" s="101">
        <v>14</v>
      </c>
      <c r="F11" s="84"/>
      <c r="G11" s="84"/>
      <c r="H11" s="84"/>
      <c r="I11" s="84"/>
      <c r="J11" s="84"/>
    </row>
    <row r="12" spans="1:11" ht="15.95" customHeight="1">
      <c r="A12" s="80">
        <v>4</v>
      </c>
      <c r="B12" s="81" t="s">
        <v>111</v>
      </c>
      <c r="C12" s="81" t="s">
        <v>98</v>
      </c>
      <c r="D12" s="101">
        <v>14</v>
      </c>
      <c r="F12" s="84"/>
      <c r="G12" s="84"/>
      <c r="H12" s="84"/>
      <c r="I12" s="84"/>
      <c r="J12" s="84"/>
    </row>
    <row r="13" spans="1:11" ht="15.95" customHeight="1">
      <c r="A13" s="80">
        <v>5</v>
      </c>
      <c r="B13" s="93" t="s">
        <v>30</v>
      </c>
      <c r="C13" s="81" t="s">
        <v>96</v>
      </c>
      <c r="D13" s="101">
        <v>13</v>
      </c>
      <c r="F13" s="84"/>
      <c r="G13" s="84"/>
      <c r="H13" s="84"/>
      <c r="I13" s="84"/>
      <c r="J13" s="84"/>
    </row>
    <row r="14" spans="1:11" ht="15.95" customHeight="1">
      <c r="A14" s="80">
        <v>5</v>
      </c>
      <c r="B14" s="81" t="s">
        <v>41</v>
      </c>
      <c r="C14" s="81" t="s">
        <v>96</v>
      </c>
      <c r="D14" s="101">
        <v>13</v>
      </c>
      <c r="F14" s="84"/>
      <c r="G14" s="85"/>
      <c r="H14" s="84"/>
      <c r="I14" s="84"/>
      <c r="J14" s="84"/>
    </row>
    <row r="15" spans="1:11" ht="15.95" customHeight="1">
      <c r="A15" s="80">
        <v>6</v>
      </c>
      <c r="B15" s="81" t="s">
        <v>112</v>
      </c>
      <c r="C15" s="81" t="s">
        <v>98</v>
      </c>
      <c r="D15" s="101">
        <v>12</v>
      </c>
      <c r="F15" s="84"/>
      <c r="G15" s="84"/>
      <c r="H15" s="84"/>
      <c r="I15" s="84"/>
      <c r="J15" s="84"/>
    </row>
    <row r="16" spans="1:11" ht="15.95" customHeight="1">
      <c r="A16" s="80">
        <v>6</v>
      </c>
      <c r="B16" s="81" t="s">
        <v>113</v>
      </c>
      <c r="C16" s="81" t="s">
        <v>98</v>
      </c>
      <c r="D16" s="101">
        <v>12</v>
      </c>
      <c r="F16" s="84"/>
      <c r="G16" s="84"/>
      <c r="H16" s="84"/>
      <c r="I16" s="84"/>
      <c r="J16" s="84"/>
    </row>
    <row r="17" spans="1:10" ht="15.95" customHeight="1">
      <c r="A17" s="80">
        <v>7</v>
      </c>
      <c r="B17" s="81" t="s">
        <v>123</v>
      </c>
      <c r="C17" s="81" t="s">
        <v>98</v>
      </c>
      <c r="D17" s="101">
        <v>11</v>
      </c>
      <c r="F17" s="84"/>
      <c r="G17" s="84"/>
      <c r="H17" s="84"/>
      <c r="I17" s="84"/>
      <c r="J17" s="84"/>
    </row>
    <row r="18" spans="1:10" ht="15.95" customHeight="1">
      <c r="A18" s="80">
        <v>7</v>
      </c>
      <c r="B18" s="81" t="s">
        <v>114</v>
      </c>
      <c r="C18" s="81" t="s">
        <v>98</v>
      </c>
      <c r="D18" s="101">
        <v>11</v>
      </c>
      <c r="F18" s="84"/>
      <c r="G18" s="84"/>
      <c r="H18" s="84"/>
      <c r="I18" s="84"/>
      <c r="J18" s="84"/>
    </row>
    <row r="19" spans="1:10" ht="15.95" customHeight="1">
      <c r="A19" s="80">
        <v>8</v>
      </c>
      <c r="B19" s="93" t="s">
        <v>95</v>
      </c>
      <c r="C19" s="93" t="s">
        <v>96</v>
      </c>
      <c r="D19" s="101">
        <v>10</v>
      </c>
      <c r="E19" s="90"/>
      <c r="F19" s="91"/>
      <c r="G19" s="92"/>
      <c r="H19" s="92"/>
      <c r="I19" s="84"/>
      <c r="J19" s="84"/>
    </row>
    <row r="20" spans="1:10" ht="15.95" customHeight="1">
      <c r="A20" s="99">
        <v>8</v>
      </c>
      <c r="B20" s="81" t="s">
        <v>115</v>
      </c>
      <c r="C20" s="81" t="s">
        <v>96</v>
      </c>
      <c r="D20" s="101">
        <v>10</v>
      </c>
    </row>
    <row r="21" spans="1:10" ht="15.95" customHeight="1">
      <c r="A21" s="99">
        <v>9</v>
      </c>
      <c r="B21" s="81" t="s">
        <v>32</v>
      </c>
      <c r="C21" s="81" t="s">
        <v>98</v>
      </c>
      <c r="D21" s="101">
        <v>9</v>
      </c>
      <c r="E21" s="90"/>
      <c r="F21" s="90"/>
      <c r="G21" s="65"/>
    </row>
    <row r="22" spans="1:10" ht="15.95" customHeight="1">
      <c r="A22" s="99">
        <v>9</v>
      </c>
      <c r="B22" s="81" t="s">
        <v>47</v>
      </c>
      <c r="C22" s="81" t="s">
        <v>96</v>
      </c>
      <c r="D22" s="101">
        <v>9</v>
      </c>
      <c r="E22" s="90"/>
      <c r="F22" s="90"/>
      <c r="G22" s="65"/>
    </row>
    <row r="23" spans="1:10" ht="15.95" customHeight="1">
      <c r="A23" s="99">
        <v>10</v>
      </c>
      <c r="B23" s="81" t="s">
        <v>117</v>
      </c>
      <c r="C23" s="81" t="s">
        <v>98</v>
      </c>
      <c r="D23" s="101">
        <v>8</v>
      </c>
      <c r="E23" s="90"/>
      <c r="F23" s="90"/>
      <c r="G23" s="65"/>
    </row>
    <row r="24" spans="1:10" ht="15.95" customHeight="1">
      <c r="A24" s="99">
        <v>10</v>
      </c>
      <c r="B24" s="81" t="s">
        <v>118</v>
      </c>
      <c r="C24" s="81" t="s">
        <v>98</v>
      </c>
      <c r="D24" s="101">
        <v>8</v>
      </c>
      <c r="E24" s="90"/>
      <c r="F24" s="90"/>
      <c r="G24" s="65"/>
    </row>
    <row r="25" spans="1:10" ht="15.95" customHeight="1">
      <c r="A25" s="99">
        <v>11</v>
      </c>
      <c r="B25" s="81" t="s">
        <v>116</v>
      </c>
      <c r="C25" s="81" t="s">
        <v>98</v>
      </c>
      <c r="D25" s="101">
        <v>7</v>
      </c>
    </row>
    <row r="26" spans="1:10" ht="15.95" customHeight="1">
      <c r="A26" s="99">
        <v>11</v>
      </c>
      <c r="B26" s="81" t="s">
        <v>124</v>
      </c>
      <c r="C26" s="81" t="s">
        <v>98</v>
      </c>
      <c r="D26" s="101">
        <v>7</v>
      </c>
    </row>
    <row r="27" spans="1:10" ht="15.95" customHeight="1">
      <c r="A27" s="99">
        <v>12</v>
      </c>
      <c r="B27" s="81" t="s">
        <v>97</v>
      </c>
      <c r="C27" s="81" t="s">
        <v>98</v>
      </c>
      <c r="D27" s="101">
        <v>6</v>
      </c>
    </row>
    <row r="28" spans="1:10" ht="15.95" customHeight="1">
      <c r="A28" s="99">
        <v>12</v>
      </c>
      <c r="B28" s="81" t="s">
        <v>119</v>
      </c>
      <c r="C28" s="81" t="s">
        <v>98</v>
      </c>
      <c r="D28" s="101">
        <v>6</v>
      </c>
    </row>
    <row r="29" spans="1:10" ht="15.95" customHeight="1">
      <c r="A29" s="99">
        <v>13</v>
      </c>
      <c r="B29" s="81" t="s">
        <v>120</v>
      </c>
      <c r="C29" s="81" t="s">
        <v>98</v>
      </c>
      <c r="D29" s="101">
        <v>5</v>
      </c>
    </row>
    <row r="30" spans="1:10" ht="15.95" customHeight="1">
      <c r="A30" s="99">
        <v>13</v>
      </c>
      <c r="B30" s="81" t="s">
        <v>100</v>
      </c>
      <c r="C30" s="81" t="s">
        <v>98</v>
      </c>
      <c r="D30" s="101">
        <v>5</v>
      </c>
    </row>
    <row r="31" spans="1:10" ht="15.95" customHeight="1">
      <c r="A31" s="99">
        <v>14</v>
      </c>
      <c r="B31" s="81" t="s">
        <v>126</v>
      </c>
      <c r="C31" s="81" t="s">
        <v>98</v>
      </c>
      <c r="D31" s="101">
        <v>4</v>
      </c>
    </row>
    <row r="32" spans="1:10" ht="15.95" customHeight="1">
      <c r="A32" s="99">
        <v>14</v>
      </c>
      <c r="B32" s="81" t="s">
        <v>125</v>
      </c>
      <c r="C32" s="81" t="s">
        <v>98</v>
      </c>
      <c r="D32" s="101">
        <v>4</v>
      </c>
    </row>
    <row r="33" spans="1:4" ht="15.95" customHeight="1">
      <c r="A33" s="99">
        <v>15</v>
      </c>
      <c r="B33" s="81" t="s">
        <v>121</v>
      </c>
      <c r="C33" s="81" t="s">
        <v>98</v>
      </c>
      <c r="D33" s="101">
        <v>3</v>
      </c>
    </row>
    <row r="34" spans="1:4" ht="15.95" customHeight="1">
      <c r="A34" s="99">
        <v>15</v>
      </c>
      <c r="B34" s="81" t="s">
        <v>122</v>
      </c>
      <c r="C34" s="81" t="s">
        <v>98</v>
      </c>
      <c r="D34" s="101">
        <v>3</v>
      </c>
    </row>
    <row r="35" spans="1:4" ht="15.95" customHeight="1">
      <c r="A35" s="99">
        <v>16</v>
      </c>
      <c r="B35" s="81" t="s">
        <v>127</v>
      </c>
      <c r="C35" s="81" t="s">
        <v>98</v>
      </c>
      <c r="D35" s="101">
        <v>2</v>
      </c>
    </row>
    <row r="36" spans="1:4" ht="15.95" customHeight="1" thickBot="1">
      <c r="A36" s="100">
        <v>16</v>
      </c>
      <c r="B36" s="87" t="s">
        <v>128</v>
      </c>
      <c r="C36" s="87" t="s">
        <v>98</v>
      </c>
      <c r="D36" s="102">
        <v>2</v>
      </c>
    </row>
    <row r="40" spans="1:4" ht="21">
      <c r="B40" s="90" t="s">
        <v>99</v>
      </c>
      <c r="C40" s="90"/>
      <c r="D40" s="90"/>
    </row>
    <row r="41" spans="1:4" ht="21">
      <c r="B41" s="90"/>
      <c r="C41" s="90"/>
      <c r="D41" s="90"/>
    </row>
    <row r="42" spans="1:4" ht="21">
      <c r="B42" s="90"/>
      <c r="C42" s="90"/>
      <c r="D42" s="90"/>
    </row>
    <row r="43" spans="1:4" ht="21">
      <c r="B43" s="90" t="s">
        <v>130</v>
      </c>
      <c r="C43" s="90"/>
      <c r="D43" s="90"/>
    </row>
    <row r="49" spans="5:5" ht="21">
      <c r="E49" s="90"/>
    </row>
    <row r="50" spans="5:5" ht="21">
      <c r="E50" s="90"/>
    </row>
    <row r="51" spans="5:5" ht="21">
      <c r="E51" s="90"/>
    </row>
    <row r="52" spans="5:5" ht="21">
      <c r="E52" s="90"/>
    </row>
  </sheetData>
  <mergeCells count="2">
    <mergeCell ref="A1:D1"/>
    <mergeCell ref="A2:D2"/>
  </mergeCells>
  <phoneticPr fontId="0" type="noConversion"/>
  <pageMargins left="0.75" right="0.49" top="0.7" bottom="1" header="0.5" footer="0.5"/>
  <pageSetup paperSize="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9"/>
  <dimension ref="A1:AB67"/>
  <sheetViews>
    <sheetView topLeftCell="K7" workbookViewId="0">
      <selection activeCell="L28" sqref="L28:S43"/>
    </sheetView>
  </sheetViews>
  <sheetFormatPr defaultRowHeight="15"/>
  <cols>
    <col min="9" max="10" width="9.140625" style="9"/>
  </cols>
  <sheetData>
    <row r="1" spans="1:28">
      <c r="A1" t="str">
        <f t="shared" ref="A1:H1" si="0">ROW()&amp;COLUMN()</f>
        <v>11</v>
      </c>
      <c r="B1" t="str">
        <f t="shared" si="0"/>
        <v>12</v>
      </c>
      <c r="C1" t="str">
        <f t="shared" si="0"/>
        <v>13</v>
      </c>
      <c r="D1" t="str">
        <f t="shared" si="0"/>
        <v>14</v>
      </c>
      <c r="E1" t="str">
        <f t="shared" si="0"/>
        <v>15</v>
      </c>
      <c r="F1" t="str">
        <f t="shared" si="0"/>
        <v>16</v>
      </c>
      <c r="G1" t="str">
        <f t="shared" si="0"/>
        <v>17</v>
      </c>
      <c r="H1" t="str">
        <f t="shared" si="0"/>
        <v>18</v>
      </c>
      <c r="L1" t="e">
        <f t="shared" ref="L1:S1" si="1">MATCH(A1,$I:$I,0)</f>
        <v>#N/A</v>
      </c>
      <c r="M1">
        <f t="shared" si="1"/>
        <v>33</v>
      </c>
      <c r="N1" t="e">
        <f t="shared" si="1"/>
        <v>#N/A</v>
      </c>
      <c r="O1">
        <f t="shared" si="1"/>
        <v>44</v>
      </c>
      <c r="P1" t="e">
        <f t="shared" si="1"/>
        <v>#N/A</v>
      </c>
      <c r="Q1">
        <f t="shared" si="1"/>
        <v>55</v>
      </c>
      <c r="R1" t="e">
        <f t="shared" si="1"/>
        <v>#N/A</v>
      </c>
      <c r="S1">
        <f t="shared" si="1"/>
        <v>24</v>
      </c>
      <c r="U1" t="e">
        <f t="shared" ref="U1:AB8" si="2">MATCH(A1,$J:$J,0)</f>
        <v>#N/A</v>
      </c>
      <c r="V1" t="e">
        <f t="shared" si="2"/>
        <v>#N/A</v>
      </c>
      <c r="W1">
        <f t="shared" si="2"/>
        <v>37</v>
      </c>
      <c r="X1" t="e">
        <f t="shared" si="2"/>
        <v>#N/A</v>
      </c>
      <c r="Y1">
        <f t="shared" si="2"/>
        <v>50</v>
      </c>
      <c r="Z1" t="e">
        <f t="shared" si="2"/>
        <v>#N/A</v>
      </c>
      <c r="AA1">
        <f t="shared" si="2"/>
        <v>63</v>
      </c>
      <c r="AB1" t="e">
        <f t="shared" si="2"/>
        <v>#N/A</v>
      </c>
    </row>
    <row r="2" spans="1:28">
      <c r="A2" t="str">
        <f t="shared" ref="A2:E3" si="3">ROW()&amp;COLUMN()</f>
        <v>21</v>
      </c>
      <c r="B2" t="str">
        <f t="shared" si="3"/>
        <v>22</v>
      </c>
      <c r="C2" t="str">
        <f t="shared" si="3"/>
        <v>23</v>
      </c>
      <c r="D2" t="str">
        <f t="shared" si="3"/>
        <v>24</v>
      </c>
      <c r="E2" t="str">
        <f t="shared" si="3"/>
        <v>25</v>
      </c>
      <c r="F2" t="str">
        <f t="shared" ref="F2:H8" si="4">ROW()&amp;COLUMN()</f>
        <v>26</v>
      </c>
      <c r="G2" t="str">
        <f t="shared" si="4"/>
        <v>27</v>
      </c>
      <c r="H2" t="str">
        <f t="shared" si="4"/>
        <v>28</v>
      </c>
      <c r="L2" t="e">
        <f t="shared" ref="L2:N4" si="5">MATCH(A2,$I:$I,0)</f>
        <v>#N/A</v>
      </c>
      <c r="M2" t="e">
        <f t="shared" si="5"/>
        <v>#N/A</v>
      </c>
      <c r="N2">
        <f t="shared" si="5"/>
        <v>45</v>
      </c>
      <c r="O2" t="e">
        <f t="shared" ref="O2:S4" si="6">MATCH(D2,$I:$I,0)</f>
        <v>#N/A</v>
      </c>
      <c r="P2">
        <f t="shared" si="6"/>
        <v>56</v>
      </c>
      <c r="Q2" t="e">
        <f t="shared" si="6"/>
        <v>#N/A</v>
      </c>
      <c r="R2">
        <f t="shared" si="6"/>
        <v>25</v>
      </c>
      <c r="S2">
        <f t="shared" si="6"/>
        <v>36</v>
      </c>
      <c r="U2">
        <f t="shared" si="2"/>
        <v>33</v>
      </c>
      <c r="V2" t="e">
        <f t="shared" si="2"/>
        <v>#N/A</v>
      </c>
      <c r="W2" t="e">
        <f t="shared" si="2"/>
        <v>#N/A</v>
      </c>
      <c r="X2">
        <f t="shared" si="2"/>
        <v>49</v>
      </c>
      <c r="Y2" t="e">
        <f t="shared" si="2"/>
        <v>#N/A</v>
      </c>
      <c r="Z2">
        <f t="shared" si="2"/>
        <v>62</v>
      </c>
      <c r="AA2" t="e">
        <f t="shared" si="2"/>
        <v>#N/A</v>
      </c>
      <c r="AB2" t="e">
        <f t="shared" si="2"/>
        <v>#N/A</v>
      </c>
    </row>
    <row r="3" spans="1:28">
      <c r="A3" t="str">
        <f t="shared" si="3"/>
        <v>31</v>
      </c>
      <c r="B3" t="str">
        <f t="shared" si="3"/>
        <v>32</v>
      </c>
      <c r="C3" t="str">
        <f t="shared" si="3"/>
        <v>33</v>
      </c>
      <c r="D3" t="str">
        <f t="shared" si="3"/>
        <v>34</v>
      </c>
      <c r="E3" t="str">
        <f t="shared" si="3"/>
        <v>35</v>
      </c>
      <c r="F3" t="str">
        <f t="shared" si="4"/>
        <v>36</v>
      </c>
      <c r="G3" t="str">
        <f t="shared" si="4"/>
        <v>37</v>
      </c>
      <c r="H3" t="str">
        <f t="shared" si="4"/>
        <v>38</v>
      </c>
      <c r="L3">
        <f t="shared" si="5"/>
        <v>37</v>
      </c>
      <c r="M3" t="e">
        <f t="shared" si="5"/>
        <v>#N/A</v>
      </c>
      <c r="N3" t="e">
        <f t="shared" si="5"/>
        <v>#N/A</v>
      </c>
      <c r="O3">
        <f t="shared" si="6"/>
        <v>57</v>
      </c>
      <c r="P3" t="e">
        <f t="shared" si="6"/>
        <v>#N/A</v>
      </c>
      <c r="Q3">
        <f t="shared" si="6"/>
        <v>26</v>
      </c>
      <c r="R3" t="e">
        <f t="shared" si="6"/>
        <v>#N/A</v>
      </c>
      <c r="S3">
        <f t="shared" si="6"/>
        <v>48</v>
      </c>
      <c r="U3" t="e">
        <f t="shared" si="2"/>
        <v>#N/A</v>
      </c>
      <c r="V3">
        <f t="shared" si="2"/>
        <v>45</v>
      </c>
      <c r="W3" t="e">
        <f t="shared" si="2"/>
        <v>#N/A</v>
      </c>
      <c r="X3" t="e">
        <f t="shared" si="2"/>
        <v>#N/A</v>
      </c>
      <c r="Y3">
        <f t="shared" si="2"/>
        <v>61</v>
      </c>
      <c r="Z3" t="e">
        <f t="shared" si="2"/>
        <v>#N/A</v>
      </c>
      <c r="AA3">
        <f t="shared" si="2"/>
        <v>32</v>
      </c>
      <c r="AB3" t="e">
        <f t="shared" si="2"/>
        <v>#N/A</v>
      </c>
    </row>
    <row r="4" spans="1:28">
      <c r="A4" t="str">
        <f t="shared" ref="A4:E8" si="7">ROW()&amp;COLUMN()</f>
        <v>41</v>
      </c>
      <c r="B4" t="str">
        <f t="shared" si="7"/>
        <v>42</v>
      </c>
      <c r="C4" t="str">
        <f t="shared" si="7"/>
        <v>43</v>
      </c>
      <c r="D4" t="str">
        <f t="shared" si="7"/>
        <v>44</v>
      </c>
      <c r="E4" t="str">
        <f t="shared" si="7"/>
        <v>45</v>
      </c>
      <c r="F4" t="str">
        <f t="shared" si="4"/>
        <v>46</v>
      </c>
      <c r="G4" t="str">
        <f t="shared" si="4"/>
        <v>47</v>
      </c>
      <c r="H4" t="str">
        <f t="shared" si="4"/>
        <v>48</v>
      </c>
      <c r="L4" t="e">
        <f t="shared" si="5"/>
        <v>#N/A</v>
      </c>
      <c r="M4">
        <f t="shared" si="5"/>
        <v>49</v>
      </c>
      <c r="N4" t="e">
        <f t="shared" si="5"/>
        <v>#N/A</v>
      </c>
      <c r="O4" t="e">
        <f>MATCH(D4,$I:$I,0)</f>
        <v>#N/A</v>
      </c>
      <c r="P4">
        <f t="shared" si="6"/>
        <v>27</v>
      </c>
      <c r="Q4" t="e">
        <f t="shared" si="6"/>
        <v>#N/A</v>
      </c>
      <c r="R4">
        <f t="shared" si="6"/>
        <v>38</v>
      </c>
      <c r="S4">
        <f t="shared" si="6"/>
        <v>60</v>
      </c>
      <c r="U4">
        <f t="shared" si="2"/>
        <v>44</v>
      </c>
      <c r="V4" t="e">
        <f t="shared" si="2"/>
        <v>#N/A</v>
      </c>
      <c r="W4">
        <f t="shared" si="2"/>
        <v>57</v>
      </c>
      <c r="X4" t="e">
        <f t="shared" si="2"/>
        <v>#N/A</v>
      </c>
      <c r="Y4" t="e">
        <f t="shared" si="2"/>
        <v>#N/A</v>
      </c>
      <c r="Z4">
        <f t="shared" si="2"/>
        <v>31</v>
      </c>
      <c r="AA4" t="e">
        <f t="shared" si="2"/>
        <v>#N/A</v>
      </c>
      <c r="AB4" t="e">
        <f t="shared" si="2"/>
        <v>#N/A</v>
      </c>
    </row>
    <row r="5" spans="1:28">
      <c r="A5" t="str">
        <f t="shared" si="7"/>
        <v>51</v>
      </c>
      <c r="B5" t="str">
        <f t="shared" si="7"/>
        <v>52</v>
      </c>
      <c r="C5" t="str">
        <f t="shared" si="7"/>
        <v>53</v>
      </c>
      <c r="D5" t="str">
        <f t="shared" si="7"/>
        <v>54</v>
      </c>
      <c r="E5" t="str">
        <f t="shared" si="7"/>
        <v>55</v>
      </c>
      <c r="F5" t="str">
        <f t="shared" si="4"/>
        <v>56</v>
      </c>
      <c r="G5" t="str">
        <f t="shared" si="4"/>
        <v>57</v>
      </c>
      <c r="H5" t="str">
        <f t="shared" si="4"/>
        <v>58</v>
      </c>
      <c r="L5">
        <f t="shared" ref="L5:S6" si="8">MATCH(A5,$I:$I,0)</f>
        <v>50</v>
      </c>
      <c r="M5" t="e">
        <f t="shared" si="8"/>
        <v>#N/A</v>
      </c>
      <c r="N5">
        <f t="shared" si="8"/>
        <v>61</v>
      </c>
      <c r="O5" t="e">
        <f t="shared" si="8"/>
        <v>#N/A</v>
      </c>
      <c r="P5" t="e">
        <f t="shared" si="8"/>
        <v>#N/A</v>
      </c>
      <c r="Q5">
        <f t="shared" si="8"/>
        <v>39</v>
      </c>
      <c r="R5" t="e">
        <f t="shared" si="8"/>
        <v>#N/A</v>
      </c>
      <c r="S5" t="e">
        <f t="shared" si="8"/>
        <v>#N/A</v>
      </c>
      <c r="U5" t="e">
        <f t="shared" si="2"/>
        <v>#N/A</v>
      </c>
      <c r="V5">
        <f t="shared" si="2"/>
        <v>56</v>
      </c>
      <c r="W5" t="e">
        <f t="shared" si="2"/>
        <v>#N/A</v>
      </c>
      <c r="X5">
        <f t="shared" si="2"/>
        <v>27</v>
      </c>
      <c r="Y5" t="e">
        <f t="shared" si="2"/>
        <v>#N/A</v>
      </c>
      <c r="Z5" t="e">
        <f t="shared" si="2"/>
        <v>#N/A</v>
      </c>
      <c r="AA5">
        <f t="shared" si="2"/>
        <v>43</v>
      </c>
      <c r="AB5">
        <f t="shared" si="2"/>
        <v>30</v>
      </c>
    </row>
    <row r="6" spans="1:28">
      <c r="A6" t="str">
        <f t="shared" si="7"/>
        <v>61</v>
      </c>
      <c r="B6" t="str">
        <f t="shared" si="7"/>
        <v>62</v>
      </c>
      <c r="C6" t="str">
        <f t="shared" si="7"/>
        <v>63</v>
      </c>
      <c r="D6" t="str">
        <f t="shared" si="7"/>
        <v>64</v>
      </c>
      <c r="E6" t="str">
        <f t="shared" si="7"/>
        <v>65</v>
      </c>
      <c r="F6" t="str">
        <f t="shared" si="4"/>
        <v>66</v>
      </c>
      <c r="G6" t="str">
        <f t="shared" si="4"/>
        <v>67</v>
      </c>
      <c r="H6" t="str">
        <f t="shared" si="4"/>
        <v>68</v>
      </c>
      <c r="L6" t="e">
        <f t="shared" si="8"/>
        <v>#N/A</v>
      </c>
      <c r="M6">
        <f t="shared" si="8"/>
        <v>62</v>
      </c>
      <c r="N6" t="e">
        <f t="shared" si="8"/>
        <v>#N/A</v>
      </c>
      <c r="O6">
        <f t="shared" si="8"/>
        <v>31</v>
      </c>
      <c r="P6" t="e">
        <f t="shared" si="8"/>
        <v>#N/A</v>
      </c>
      <c r="Q6" t="e">
        <f t="shared" si="8"/>
        <v>#N/A</v>
      </c>
      <c r="R6">
        <f t="shared" si="8"/>
        <v>51</v>
      </c>
      <c r="S6" t="e">
        <f t="shared" si="8"/>
        <v>#N/A</v>
      </c>
      <c r="U6">
        <f t="shared" si="2"/>
        <v>55</v>
      </c>
      <c r="V6" t="e">
        <f t="shared" si="2"/>
        <v>#N/A</v>
      </c>
      <c r="W6">
        <f t="shared" si="2"/>
        <v>26</v>
      </c>
      <c r="X6" t="e">
        <f t="shared" si="2"/>
        <v>#N/A</v>
      </c>
      <c r="Y6">
        <f t="shared" si="2"/>
        <v>39</v>
      </c>
      <c r="Z6" t="e">
        <f t="shared" si="2"/>
        <v>#N/A</v>
      </c>
      <c r="AA6" t="e">
        <f t="shared" si="2"/>
        <v>#N/A</v>
      </c>
      <c r="AB6">
        <f t="shared" si="2"/>
        <v>42</v>
      </c>
    </row>
    <row r="7" spans="1:28">
      <c r="A7" t="str">
        <f t="shared" si="7"/>
        <v>71</v>
      </c>
      <c r="B7" t="str">
        <f t="shared" si="7"/>
        <v>72</v>
      </c>
      <c r="C7" t="str">
        <f t="shared" si="7"/>
        <v>73</v>
      </c>
      <c r="D7" t="str">
        <f t="shared" si="7"/>
        <v>74</v>
      </c>
      <c r="E7" t="str">
        <f t="shared" si="7"/>
        <v>75</v>
      </c>
      <c r="F7" t="str">
        <f t="shared" si="4"/>
        <v>76</v>
      </c>
      <c r="G7" t="str">
        <f t="shared" si="4"/>
        <v>77</v>
      </c>
      <c r="H7" t="str">
        <f t="shared" si="4"/>
        <v>78</v>
      </c>
      <c r="L7">
        <f t="shared" ref="L7:S8" si="9">MATCH(A7,$I:$I,0)</f>
        <v>63</v>
      </c>
      <c r="M7" t="e">
        <f t="shared" si="9"/>
        <v>#N/A</v>
      </c>
      <c r="N7">
        <f t="shared" si="9"/>
        <v>32</v>
      </c>
      <c r="O7" t="e">
        <f t="shared" si="9"/>
        <v>#N/A</v>
      </c>
      <c r="P7">
        <f t="shared" si="9"/>
        <v>43</v>
      </c>
      <c r="Q7" t="e">
        <f t="shared" si="9"/>
        <v>#N/A</v>
      </c>
      <c r="R7" t="e">
        <f t="shared" si="9"/>
        <v>#N/A</v>
      </c>
      <c r="S7" t="e">
        <f t="shared" si="9"/>
        <v>#N/A</v>
      </c>
      <c r="U7" t="e">
        <f t="shared" si="2"/>
        <v>#N/A</v>
      </c>
      <c r="V7">
        <f t="shared" si="2"/>
        <v>25</v>
      </c>
      <c r="W7" t="e">
        <f t="shared" si="2"/>
        <v>#N/A</v>
      </c>
      <c r="X7">
        <f t="shared" si="2"/>
        <v>38</v>
      </c>
      <c r="Y7" t="e">
        <f t="shared" si="2"/>
        <v>#N/A</v>
      </c>
      <c r="Z7">
        <f t="shared" si="2"/>
        <v>51</v>
      </c>
      <c r="AA7" t="e">
        <f t="shared" si="2"/>
        <v>#N/A</v>
      </c>
      <c r="AB7">
        <f t="shared" si="2"/>
        <v>54</v>
      </c>
    </row>
    <row r="8" spans="1:28">
      <c r="A8" t="str">
        <f t="shared" si="7"/>
        <v>81</v>
      </c>
      <c r="B8" t="str">
        <f t="shared" si="7"/>
        <v>82</v>
      </c>
      <c r="C8" t="str">
        <f t="shared" si="7"/>
        <v>83</v>
      </c>
      <c r="D8" t="str">
        <f t="shared" si="7"/>
        <v>84</v>
      </c>
      <c r="E8" t="str">
        <f t="shared" si="7"/>
        <v>85</v>
      </c>
      <c r="F8" t="str">
        <f t="shared" si="4"/>
        <v>86</v>
      </c>
      <c r="G8" t="str">
        <f t="shared" si="4"/>
        <v>87</v>
      </c>
      <c r="H8" t="str">
        <f t="shared" si="4"/>
        <v>88</v>
      </c>
      <c r="L8" t="e">
        <f t="shared" si="9"/>
        <v>#N/A</v>
      </c>
      <c r="M8" t="e">
        <f t="shared" si="9"/>
        <v>#N/A</v>
      </c>
      <c r="N8" t="e">
        <f t="shared" si="9"/>
        <v>#N/A</v>
      </c>
      <c r="O8" t="e">
        <f t="shared" si="9"/>
        <v>#N/A</v>
      </c>
      <c r="P8">
        <f t="shared" si="9"/>
        <v>30</v>
      </c>
      <c r="Q8">
        <f t="shared" si="9"/>
        <v>42</v>
      </c>
      <c r="R8">
        <f t="shared" si="9"/>
        <v>54</v>
      </c>
      <c r="S8" t="e">
        <f t="shared" si="9"/>
        <v>#N/A</v>
      </c>
      <c r="U8">
        <f t="shared" si="2"/>
        <v>24</v>
      </c>
      <c r="V8">
        <f t="shared" si="2"/>
        <v>36</v>
      </c>
      <c r="W8">
        <f t="shared" si="2"/>
        <v>48</v>
      </c>
      <c r="X8">
        <f t="shared" si="2"/>
        <v>60</v>
      </c>
      <c r="Y8" t="e">
        <f t="shared" si="2"/>
        <v>#N/A</v>
      </c>
      <c r="Z8" t="e">
        <f t="shared" si="2"/>
        <v>#N/A</v>
      </c>
      <c r="AA8" t="e">
        <f t="shared" si="2"/>
        <v>#N/A</v>
      </c>
      <c r="AB8" t="e">
        <f t="shared" si="2"/>
        <v>#N/A</v>
      </c>
    </row>
    <row r="11" spans="1:28">
      <c r="L1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1" t="e">
        <f t="shared" ref="M11:S11" ca="1" si="10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>#NAME?</v>
      </c>
      <c r="N11" t="str">
        <f t="shared" ca="1" si="10"/>
        <v/>
      </c>
      <c r="O11" t="e">
        <f t="shared" ca="1" si="10"/>
        <v>#NAME?</v>
      </c>
      <c r="P11" t="str">
        <f t="shared" ca="1" si="10"/>
        <v/>
      </c>
      <c r="Q11" t="e">
        <f t="shared" ca="1" si="10"/>
        <v>#NAME?</v>
      </c>
      <c r="R11" t="str">
        <f t="shared" ca="1" si="10"/>
        <v/>
      </c>
      <c r="S11" t="e">
        <f t="shared" ca="1" si="10"/>
        <v>#NAME?</v>
      </c>
      <c r="U11" t="str">
        <f ca="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1" t="str">
        <f t="shared" ref="V11:AB11" ca="1" si="1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W11" t="e">
        <f t="shared" ca="1" si="11"/>
        <v>#NAME?</v>
      </c>
      <c r="X11" t="str">
        <f t="shared" ca="1" si="11"/>
        <v/>
      </c>
      <c r="Y11" t="e">
        <f t="shared" ca="1" si="11"/>
        <v>#NAME?</v>
      </c>
      <c r="Z11" t="str">
        <f t="shared" ca="1" si="11"/>
        <v/>
      </c>
      <c r="AA11" t="e">
        <f t="shared" ca="1" si="11"/>
        <v>#NAME?</v>
      </c>
      <c r="AB11" t="str">
        <f t="shared" ca="1" si="11"/>
        <v/>
      </c>
    </row>
    <row r="12" spans="1:28">
      <c r="L12" t="str">
        <f t="shared" ref="L12:S26" ca="1" si="12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2" t="e">
        <f t="shared" ca="1" si="12"/>
        <v>#NAME?</v>
      </c>
      <c r="N12" t="str">
        <f t="shared" ca="1" si="12"/>
        <v/>
      </c>
      <c r="O12" t="e">
        <f t="shared" ca="1" si="12"/>
        <v>#NAME?</v>
      </c>
      <c r="P12" t="str">
        <f t="shared" ca="1" si="12"/>
        <v/>
      </c>
      <c r="Q12" t="e">
        <f t="shared" ca="1" si="12"/>
        <v>#NAME?</v>
      </c>
      <c r="R12" t="str">
        <f t="shared" ca="1" si="12"/>
        <v/>
      </c>
      <c r="S12" t="e">
        <f t="shared" ca="1" si="12"/>
        <v>#NAME?</v>
      </c>
      <c r="U12" t="str">
        <f t="shared" ref="U12:AB26" ca="1" si="13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2" t="str">
        <f t="shared" ca="1" si="13"/>
        <v/>
      </c>
      <c r="W12" t="e">
        <f t="shared" ca="1" si="13"/>
        <v>#NAME?</v>
      </c>
      <c r="X12" t="str">
        <f t="shared" ca="1" si="13"/>
        <v/>
      </c>
      <c r="Y12" t="e">
        <f t="shared" ca="1" si="13"/>
        <v>#NAME?</v>
      </c>
      <c r="Z12" t="str">
        <f t="shared" ca="1" si="13"/>
        <v/>
      </c>
      <c r="AA12" t="e">
        <f t="shared" ca="1" si="13"/>
        <v>#NAME?</v>
      </c>
      <c r="AB12" t="str">
        <f t="shared" ca="1" si="13"/>
        <v/>
      </c>
    </row>
    <row r="13" spans="1:28">
      <c r="L13" t="str">
        <f t="shared" ca="1" si="12"/>
        <v/>
      </c>
      <c r="M13" t="str">
        <f t="shared" ca="1" si="12"/>
        <v/>
      </c>
      <c r="N13" t="e">
        <f t="shared" ca="1" si="12"/>
        <v>#NAME?</v>
      </c>
      <c r="O13" t="str">
        <f t="shared" ca="1" si="12"/>
        <v/>
      </c>
      <c r="P13" t="e">
        <f t="shared" ca="1" si="12"/>
        <v>#NAME?</v>
      </c>
      <c r="Q13" t="str">
        <f t="shared" ca="1" si="12"/>
        <v/>
      </c>
      <c r="R13" t="e">
        <f t="shared" ca="1" si="12"/>
        <v>#NAME?</v>
      </c>
      <c r="S13" t="e">
        <f t="shared" ca="1" si="12"/>
        <v>#NAME?</v>
      </c>
      <c r="U13" t="e">
        <f t="shared" ca="1" si="13"/>
        <v>#NAME?</v>
      </c>
      <c r="V13" t="str">
        <f t="shared" ca="1" si="13"/>
        <v/>
      </c>
      <c r="W13" t="str">
        <f t="shared" ca="1" si="13"/>
        <v/>
      </c>
      <c r="X13" t="e">
        <f t="shared" ca="1" si="13"/>
        <v>#NAME?</v>
      </c>
      <c r="Y13" t="str">
        <f t="shared" ca="1" si="13"/>
        <v/>
      </c>
      <c r="Z13" t="e">
        <f t="shared" ca="1" si="13"/>
        <v>#NAME?</v>
      </c>
      <c r="AA13" t="str">
        <f t="shared" ca="1" si="13"/>
        <v/>
      </c>
      <c r="AB13" t="str">
        <f t="shared" ca="1" si="13"/>
        <v/>
      </c>
    </row>
    <row r="14" spans="1:28">
      <c r="L14" t="str">
        <f t="shared" ca="1" si="12"/>
        <v/>
      </c>
      <c r="M14" t="str">
        <f t="shared" ca="1" si="12"/>
        <v/>
      </c>
      <c r="N14" t="e">
        <f t="shared" ca="1" si="12"/>
        <v>#NAME?</v>
      </c>
      <c r="O14" t="str">
        <f t="shared" ca="1" si="12"/>
        <v/>
      </c>
      <c r="P14" t="e">
        <f t="shared" ca="1" si="12"/>
        <v>#NAME?</v>
      </c>
      <c r="Q14" t="str">
        <f t="shared" ca="1" si="12"/>
        <v/>
      </c>
      <c r="R14" t="e">
        <f t="shared" ca="1" si="12"/>
        <v>#NAME?</v>
      </c>
      <c r="S14" t="e">
        <f t="shared" ca="1" si="12"/>
        <v>#NAME?</v>
      </c>
      <c r="U14" t="e">
        <f t="shared" ca="1" si="13"/>
        <v>#NAME?</v>
      </c>
      <c r="V14" t="str">
        <f t="shared" ca="1" si="13"/>
        <v/>
      </c>
      <c r="W14" t="str">
        <f t="shared" ca="1" si="13"/>
        <v/>
      </c>
      <c r="X14" t="e">
        <f t="shared" ca="1" si="13"/>
        <v>#NAME?</v>
      </c>
      <c r="Y14" t="str">
        <f t="shared" ca="1" si="13"/>
        <v/>
      </c>
      <c r="Z14" t="e">
        <f t="shared" ca="1" si="13"/>
        <v>#NAME?</v>
      </c>
      <c r="AA14" t="str">
        <f t="shared" ca="1" si="13"/>
        <v/>
      </c>
      <c r="AB14" t="str">
        <f t="shared" ca="1" si="13"/>
        <v/>
      </c>
    </row>
    <row r="15" spans="1:28">
      <c r="L15" t="e">
        <f t="shared" ca="1" si="12"/>
        <v>#NAME?</v>
      </c>
      <c r="M15" t="str">
        <f t="shared" ca="1" si="12"/>
        <v/>
      </c>
      <c r="N15" t="str">
        <f t="shared" ca="1" si="12"/>
        <v/>
      </c>
      <c r="O15" t="e">
        <f t="shared" ca="1" si="12"/>
        <v>#NAME?</v>
      </c>
      <c r="P15" t="str">
        <f t="shared" ca="1" si="12"/>
        <v/>
      </c>
      <c r="Q15" t="e">
        <f t="shared" ca="1" si="12"/>
        <v>#NAME?</v>
      </c>
      <c r="R15" t="str">
        <f t="shared" ca="1" si="12"/>
        <v/>
      </c>
      <c r="S15" t="e">
        <f t="shared" ca="1" si="12"/>
        <v>#NAME?</v>
      </c>
      <c r="U15" t="str">
        <f t="shared" ca="1" si="13"/>
        <v/>
      </c>
      <c r="V15" t="e">
        <f t="shared" ca="1" si="13"/>
        <v>#NAME?</v>
      </c>
      <c r="W15" t="str">
        <f t="shared" ca="1" si="13"/>
        <v/>
      </c>
      <c r="X15" t="str">
        <f t="shared" ca="1" si="13"/>
        <v/>
      </c>
      <c r="Y15" t="e">
        <f t="shared" ca="1" si="13"/>
        <v>#NAME?</v>
      </c>
      <c r="Z15" t="str">
        <f t="shared" ca="1" si="13"/>
        <v/>
      </c>
      <c r="AA15" t="e">
        <f t="shared" ca="1" si="13"/>
        <v>#NAME?</v>
      </c>
      <c r="AB15" t="str">
        <f t="shared" ca="1" si="13"/>
        <v/>
      </c>
    </row>
    <row r="16" spans="1:28">
      <c r="L16" t="e">
        <f t="shared" ca="1" si="12"/>
        <v>#NAME?</v>
      </c>
      <c r="M16" t="str">
        <f t="shared" ca="1" si="12"/>
        <v/>
      </c>
      <c r="N16" t="str">
        <f t="shared" ca="1" si="12"/>
        <v/>
      </c>
      <c r="O16" t="e">
        <f t="shared" ca="1" si="12"/>
        <v>#NAME?</v>
      </c>
      <c r="P16" t="str">
        <f t="shared" ca="1" si="12"/>
        <v/>
      </c>
      <c r="Q16" t="e">
        <f t="shared" ca="1" si="12"/>
        <v>#NAME?</v>
      </c>
      <c r="R16" t="str">
        <f t="shared" ca="1" si="12"/>
        <v/>
      </c>
      <c r="S16" t="e">
        <f t="shared" ca="1" si="12"/>
        <v>#NAME?</v>
      </c>
      <c r="U16" t="str">
        <f t="shared" ca="1" si="13"/>
        <v/>
      </c>
      <c r="V16" t="e">
        <f t="shared" ca="1" si="13"/>
        <v>#NAME?</v>
      </c>
      <c r="W16" t="str">
        <f t="shared" ca="1" si="13"/>
        <v/>
      </c>
      <c r="X16" t="str">
        <f t="shared" ca="1" si="13"/>
        <v/>
      </c>
      <c r="Y16" t="e">
        <f t="shared" ca="1" si="13"/>
        <v>#NAME?</v>
      </c>
      <c r="Z16" t="str">
        <f t="shared" ca="1" si="13"/>
        <v/>
      </c>
      <c r="AA16" t="e">
        <f t="shared" ca="1" si="13"/>
        <v>#NAME?</v>
      </c>
      <c r="AB16" t="str">
        <f t="shared" ca="1" si="13"/>
        <v/>
      </c>
    </row>
    <row r="17" spans="9:28">
      <c r="L17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7" t="e">
        <f t="shared" ca="1" si="12"/>
        <v>#NAME?</v>
      </c>
      <c r="N17" t="str">
        <f t="shared" ca="1" si="12"/>
        <v/>
      </c>
      <c r="O17" t="str">
        <f t="shared" ca="1" si="12"/>
        <v/>
      </c>
      <c r="P17" t="e">
        <f t="shared" ca="1" si="12"/>
        <v>#NAME?</v>
      </c>
      <c r="Q17" t="str">
        <f t="shared" ca="1" si="12"/>
        <v/>
      </c>
      <c r="R17" t="e">
        <f t="shared" ca="1" si="12"/>
        <v>#NAME?</v>
      </c>
      <c r="S17" t="e">
        <f t="shared" ca="1" si="12"/>
        <v>#NAME?</v>
      </c>
      <c r="U17" t="e">
        <f t="shared" ca="1" si="13"/>
        <v>#NAME?</v>
      </c>
      <c r="V17" t="str">
        <f t="shared" ca="1" si="13"/>
        <v/>
      </c>
      <c r="W17" t="e">
        <f t="shared" ca="1" si="13"/>
        <v>#NAME?</v>
      </c>
      <c r="X17" t="str">
        <f t="shared" ca="1" si="13"/>
        <v/>
      </c>
      <c r="Y17" t="str">
        <f t="shared" ca="1" si="13"/>
        <v/>
      </c>
      <c r="Z17" t="e">
        <f t="shared" ca="1" si="13"/>
        <v>#NAME?</v>
      </c>
      <c r="AA17" t="str">
        <f t="shared" ca="1" si="13"/>
        <v/>
      </c>
      <c r="AB17" t="str">
        <f t="shared" ca="1" si="13"/>
        <v/>
      </c>
    </row>
    <row r="18" spans="9:28">
      <c r="L18" t="str">
        <f t="shared" ca="1" si="12"/>
        <v/>
      </c>
      <c r="M18" t="e">
        <f t="shared" ca="1" si="12"/>
        <v>#NAME?</v>
      </c>
      <c r="N18" t="str">
        <f t="shared" ca="1" si="12"/>
        <v/>
      </c>
      <c r="O18" t="str">
        <f t="shared" ca="1" si="12"/>
        <v/>
      </c>
      <c r="P18" t="e">
        <f t="shared" ca="1" si="12"/>
        <v>#NAME?</v>
      </c>
      <c r="Q18" t="str">
        <f t="shared" ca="1" si="12"/>
        <v/>
      </c>
      <c r="R18" t="e">
        <f t="shared" ca="1" si="12"/>
        <v>#NAME?</v>
      </c>
      <c r="S18" t="e">
        <f t="shared" ca="1" si="12"/>
        <v>#NAME?</v>
      </c>
      <c r="U18" t="e">
        <f t="shared" ca="1" si="13"/>
        <v>#NAME?</v>
      </c>
      <c r="V18" t="str">
        <f t="shared" ca="1" si="13"/>
        <v/>
      </c>
      <c r="W18" t="e">
        <f t="shared" ca="1" si="13"/>
        <v>#NAME?</v>
      </c>
      <c r="X18" t="str">
        <f t="shared" ca="1" si="13"/>
        <v/>
      </c>
      <c r="Y18" t="str">
        <f t="shared" ca="1" si="13"/>
        <v/>
      </c>
      <c r="Z18" t="e">
        <f t="shared" ca="1" si="13"/>
        <v>#NAME?</v>
      </c>
      <c r="AA18" t="str">
        <f t="shared" ca="1" si="13"/>
        <v/>
      </c>
      <c r="AB18" t="str">
        <f t="shared" ca="1" si="13"/>
        <v/>
      </c>
    </row>
    <row r="19" spans="9:28">
      <c r="L19" t="e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>#NAME?</v>
      </c>
      <c r="M19" t="str">
        <f t="shared" ca="1" si="12"/>
        <v/>
      </c>
      <c r="N19" t="e">
        <f t="shared" ca="1" si="12"/>
        <v>#NAME?</v>
      </c>
      <c r="O19" t="str">
        <f t="shared" ca="1" si="12"/>
        <v/>
      </c>
      <c r="P19" t="str">
        <f t="shared" ca="1" si="12"/>
        <v/>
      </c>
      <c r="Q19" t="e">
        <f t="shared" ca="1" si="12"/>
        <v>#NAME?</v>
      </c>
      <c r="R19" t="str">
        <f t="shared" ca="1" si="12"/>
        <v/>
      </c>
      <c r="S19" t="str">
        <f t="shared" ca="1" si="12"/>
        <v/>
      </c>
      <c r="U19" t="str">
        <f t="shared" ca="1" si="13"/>
        <v/>
      </c>
      <c r="V19" t="e">
        <f t="shared" ca="1" si="13"/>
        <v>#NAME?</v>
      </c>
      <c r="W19" t="str">
        <f t="shared" ca="1" si="13"/>
        <v/>
      </c>
      <c r="X19" t="e">
        <f t="shared" ca="1" si="13"/>
        <v>#NAME?</v>
      </c>
      <c r="Y19" t="str">
        <f t="shared" ca="1" si="13"/>
        <v/>
      </c>
      <c r="Z19" t="str">
        <f t="shared" ca="1" si="13"/>
        <v/>
      </c>
      <c r="AA19" t="e">
        <f t="shared" ca="1" si="13"/>
        <v>#NAME?</v>
      </c>
      <c r="AB19" t="e">
        <f t="shared" ca="1" si="13"/>
        <v>#NAME?</v>
      </c>
    </row>
    <row r="20" spans="9:28">
      <c r="L20" t="e">
        <f t="shared" ca="1" si="12"/>
        <v>#NAME?</v>
      </c>
      <c r="M20" t="str">
        <f t="shared" ca="1" si="12"/>
        <v/>
      </c>
      <c r="N20" t="e">
        <f t="shared" ca="1" si="12"/>
        <v>#NAME?</v>
      </c>
      <c r="O20" t="str">
        <f t="shared" ca="1" si="12"/>
        <v/>
      </c>
      <c r="P20" t="str">
        <f t="shared" ca="1" si="12"/>
        <v/>
      </c>
      <c r="Q20" t="e">
        <f t="shared" ca="1" si="12"/>
        <v>#NAME?</v>
      </c>
      <c r="R20" t="str">
        <f t="shared" ca="1" si="12"/>
        <v/>
      </c>
      <c r="S20" t="str">
        <f t="shared" ca="1" si="12"/>
        <v/>
      </c>
      <c r="U20" t="str">
        <f t="shared" ca="1" si="13"/>
        <v/>
      </c>
      <c r="V20" t="e">
        <f t="shared" ca="1" si="13"/>
        <v>#NAME?</v>
      </c>
      <c r="W20" t="str">
        <f t="shared" ca="1" si="13"/>
        <v/>
      </c>
      <c r="X20" t="e">
        <f t="shared" ca="1" si="13"/>
        <v>#NAME?</v>
      </c>
      <c r="Y20" t="str">
        <f t="shared" ca="1" si="13"/>
        <v/>
      </c>
      <c r="Z20" t="str">
        <f t="shared" ca="1" si="13"/>
        <v/>
      </c>
      <c r="AA20" t="e">
        <f t="shared" ca="1" si="13"/>
        <v>#NAME?</v>
      </c>
      <c r="AB20" t="e">
        <f t="shared" ca="1" si="13"/>
        <v>#NAME?</v>
      </c>
    </row>
    <row r="21" spans="9:28">
      <c r="L2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1" t="e">
        <f t="shared" ca="1" si="12"/>
        <v>#NAME?</v>
      </c>
      <c r="N21" t="str">
        <f t="shared" ca="1" si="12"/>
        <v/>
      </c>
      <c r="O21" t="e">
        <f t="shared" ca="1" si="12"/>
        <v>#NAME?</v>
      </c>
      <c r="P21" t="str">
        <f t="shared" ca="1" si="12"/>
        <v/>
      </c>
      <c r="Q21" t="str">
        <f t="shared" ca="1" si="12"/>
        <v/>
      </c>
      <c r="R21" t="e">
        <f t="shared" ca="1" si="12"/>
        <v>#NAME?</v>
      </c>
      <c r="S21" t="str">
        <f t="shared" ca="1" si="12"/>
        <v/>
      </c>
      <c r="U21" t="e">
        <f t="shared" ca="1" si="13"/>
        <v>#NAME?</v>
      </c>
      <c r="V21" t="str">
        <f t="shared" ca="1" si="13"/>
        <v/>
      </c>
      <c r="W21" t="e">
        <f t="shared" ca="1" si="13"/>
        <v>#NAME?</v>
      </c>
      <c r="X21" t="str">
        <f t="shared" ca="1" si="13"/>
        <v/>
      </c>
      <c r="Y21" t="e">
        <f t="shared" ca="1" si="13"/>
        <v>#NAME?</v>
      </c>
      <c r="Z21" t="str">
        <f t="shared" ca="1" si="13"/>
        <v/>
      </c>
      <c r="AA21" t="str">
        <f t="shared" ca="1" si="13"/>
        <v/>
      </c>
      <c r="AB21" t="e">
        <f t="shared" ca="1" si="13"/>
        <v>#NAME?</v>
      </c>
    </row>
    <row r="22" spans="9:28">
      <c r="L22" t="str">
        <f t="shared" ca="1" si="12"/>
        <v/>
      </c>
      <c r="M22" t="e">
        <f t="shared" ca="1" si="12"/>
        <v>#NAME?</v>
      </c>
      <c r="N22" t="str">
        <f t="shared" ca="1" si="12"/>
        <v/>
      </c>
      <c r="O22" t="e">
        <f t="shared" ca="1" si="12"/>
        <v>#NAME?</v>
      </c>
      <c r="P22" t="str">
        <f t="shared" ca="1" si="12"/>
        <v/>
      </c>
      <c r="Q22" t="str">
        <f t="shared" ca="1" si="12"/>
        <v/>
      </c>
      <c r="R22" t="e">
        <f t="shared" ca="1" si="12"/>
        <v>#NAME?</v>
      </c>
      <c r="S22" t="str">
        <f t="shared" ca="1" si="12"/>
        <v/>
      </c>
      <c r="U22" t="e">
        <f t="shared" ca="1" si="13"/>
        <v>#NAME?</v>
      </c>
      <c r="V22" t="str">
        <f t="shared" ca="1" si="13"/>
        <v/>
      </c>
      <c r="W22" t="e">
        <f t="shared" ca="1" si="13"/>
        <v>#NAME?</v>
      </c>
      <c r="X22" t="str">
        <f t="shared" ca="1" si="13"/>
        <v/>
      </c>
      <c r="Y22" t="e">
        <f t="shared" ca="1" si="13"/>
        <v>#NAME?</v>
      </c>
      <c r="Z22" t="str">
        <f t="shared" ca="1" si="13"/>
        <v/>
      </c>
      <c r="AA22" t="str">
        <f t="shared" ca="1" si="13"/>
        <v/>
      </c>
      <c r="AB22" t="e">
        <f t="shared" ca="1" si="13"/>
        <v>#NAME?</v>
      </c>
    </row>
    <row r="23" spans="9:28">
      <c r="L23" t="e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>#NAME?</v>
      </c>
      <c r="M23" t="str">
        <f t="shared" ca="1" si="12"/>
        <v/>
      </c>
      <c r="N23" t="e">
        <f t="shared" ca="1" si="12"/>
        <v>#NAME?</v>
      </c>
      <c r="O23" t="str">
        <f t="shared" ca="1" si="12"/>
        <v/>
      </c>
      <c r="P23" t="e">
        <f t="shared" ca="1" si="12"/>
        <v>#NAME?</v>
      </c>
      <c r="Q23" t="str">
        <f t="shared" ca="1" si="12"/>
        <v/>
      </c>
      <c r="R23" t="str">
        <f t="shared" ca="1" si="12"/>
        <v/>
      </c>
      <c r="S23" t="str">
        <f t="shared" ca="1" si="12"/>
        <v/>
      </c>
      <c r="U23" t="str">
        <f t="shared" ca="1" si="13"/>
        <v/>
      </c>
      <c r="V23" t="e">
        <f t="shared" ca="1" si="13"/>
        <v>#NAME?</v>
      </c>
      <c r="W23" t="str">
        <f t="shared" ca="1" si="13"/>
        <v/>
      </c>
      <c r="X23" t="e">
        <f t="shared" ca="1" si="13"/>
        <v>#NAME?</v>
      </c>
      <c r="Y23" t="str">
        <f t="shared" ca="1" si="13"/>
        <v/>
      </c>
      <c r="Z23" t="e">
        <f t="shared" ca="1" si="13"/>
        <v>#NAME?</v>
      </c>
      <c r="AA23" t="str">
        <f t="shared" ca="1" si="13"/>
        <v/>
      </c>
      <c r="AB23" t="e">
        <f t="shared" ca="1" si="13"/>
        <v>#NAME?</v>
      </c>
    </row>
    <row r="24" spans="9:28">
      <c r="I24" s="9" t="str">
        <f ca="1">'ОРТ муж'!B24&amp;'ОРТ муж'!K24</f>
        <v>18</v>
      </c>
      <c r="J24" s="9" t="str">
        <f ca="1">'ОРТ муж'!K24&amp;'ОРТ муж'!B24</f>
        <v>81</v>
      </c>
      <c r="L24" t="e">
        <f t="shared" ca="1" si="12"/>
        <v>#NAME?</v>
      </c>
      <c r="M24" t="str">
        <f t="shared" ca="1" si="12"/>
        <v/>
      </c>
      <c r="N24" t="e">
        <f t="shared" ca="1" si="12"/>
        <v>#NAME?</v>
      </c>
      <c r="O24" t="str">
        <f t="shared" ca="1" si="12"/>
        <v/>
      </c>
      <c r="P24" t="e">
        <f t="shared" ca="1" si="12"/>
        <v>#NAME?</v>
      </c>
      <c r="Q24" t="str">
        <f t="shared" ca="1" si="12"/>
        <v/>
      </c>
      <c r="R24" t="str">
        <f t="shared" ca="1" si="12"/>
        <v/>
      </c>
      <c r="S24" t="str">
        <f t="shared" ca="1" si="12"/>
        <v/>
      </c>
      <c r="U24" t="str">
        <f t="shared" ca="1" si="13"/>
        <v/>
      </c>
      <c r="V24" t="e">
        <f t="shared" ca="1" si="13"/>
        <v>#NAME?</v>
      </c>
      <c r="W24" t="str">
        <f t="shared" ca="1" si="13"/>
        <v/>
      </c>
      <c r="X24" t="e">
        <f t="shared" ca="1" si="13"/>
        <v>#NAME?</v>
      </c>
      <c r="Y24" t="str">
        <f t="shared" ca="1" si="13"/>
        <v/>
      </c>
      <c r="Z24" t="e">
        <f t="shared" ca="1" si="13"/>
        <v>#NAME?</v>
      </c>
      <c r="AA24" t="str">
        <f t="shared" ca="1" si="13"/>
        <v/>
      </c>
      <c r="AB24" t="e">
        <f t="shared" ca="1" si="13"/>
        <v>#NAME?</v>
      </c>
    </row>
    <row r="25" spans="9:28">
      <c r="I25" s="9" t="str">
        <f ca="1">'ОРТ муж'!B25&amp;'ОРТ муж'!K25</f>
        <v>27</v>
      </c>
      <c r="J25" s="9" t="str">
        <f ca="1">'ОРТ муж'!K25&amp;'ОРТ муж'!B25</f>
        <v>72</v>
      </c>
      <c r="L25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5" t="str">
        <f t="shared" ca="1" si="12"/>
        <v/>
      </c>
      <c r="N25" t="str">
        <f t="shared" ca="1" si="12"/>
        <v/>
      </c>
      <c r="O25" t="str">
        <f t="shared" ca="1" si="12"/>
        <v/>
      </c>
      <c r="P25" t="e">
        <f t="shared" ca="1" si="12"/>
        <v>#NAME?</v>
      </c>
      <c r="Q25" t="e">
        <f t="shared" ca="1" si="12"/>
        <v>#NAME?</v>
      </c>
      <c r="R25" t="e">
        <f t="shared" ca="1" si="12"/>
        <v>#NAME?</v>
      </c>
      <c r="S25" t="str">
        <f t="shared" ca="1" si="12"/>
        <v/>
      </c>
      <c r="U25" t="e">
        <f t="shared" ca="1" si="13"/>
        <v>#NAME?</v>
      </c>
      <c r="V25" t="e">
        <f t="shared" ca="1" si="13"/>
        <v>#NAME?</v>
      </c>
      <c r="W25" t="e">
        <f t="shared" ca="1" si="13"/>
        <v>#NAME?</v>
      </c>
      <c r="X25" t="e">
        <f t="shared" ca="1" si="13"/>
        <v>#NAME?</v>
      </c>
      <c r="Y25" t="str">
        <f t="shared" ca="1" si="13"/>
        <v/>
      </c>
      <c r="Z25" t="str">
        <f t="shared" ca="1" si="13"/>
        <v/>
      </c>
      <c r="AA25" t="str">
        <f t="shared" ca="1" si="13"/>
        <v/>
      </c>
      <c r="AB25" t="str">
        <f t="shared" ca="1" si="13"/>
        <v/>
      </c>
    </row>
    <row r="26" spans="9:28">
      <c r="I26" s="9" t="str">
        <f ca="1">'ОРТ муж'!B26&amp;'ОРТ муж'!K26</f>
        <v>36</v>
      </c>
      <c r="J26" s="9" t="str">
        <f ca="1">'ОРТ муж'!K26&amp;'ОРТ муж'!B26</f>
        <v>63</v>
      </c>
      <c r="L26" t="str">
        <f t="shared" ca="1" si="12"/>
        <v/>
      </c>
      <c r="M26" t="str">
        <f t="shared" ca="1" si="12"/>
        <v/>
      </c>
      <c r="N26" t="str">
        <f t="shared" ca="1" si="12"/>
        <v/>
      </c>
      <c r="O26" t="str">
        <f t="shared" ca="1" si="12"/>
        <v/>
      </c>
      <c r="P26" t="e">
        <f t="shared" ca="1" si="12"/>
        <v>#NAME?</v>
      </c>
      <c r="Q26" t="e">
        <f t="shared" ca="1" si="12"/>
        <v>#NAME?</v>
      </c>
      <c r="R26" t="e">
        <f t="shared" ca="1" si="12"/>
        <v>#NAME?</v>
      </c>
      <c r="S26" t="str">
        <f t="shared" ca="1" si="12"/>
        <v/>
      </c>
      <c r="U26" t="e">
        <f t="shared" ca="1" si="13"/>
        <v>#NAME?</v>
      </c>
      <c r="V26" t="e">
        <f t="shared" ca="1" si="13"/>
        <v>#NAME?</v>
      </c>
      <c r="W26" t="e">
        <f t="shared" ca="1" si="13"/>
        <v>#NAME?</v>
      </c>
      <c r="X26" t="e">
        <f t="shared" ca="1" si="13"/>
        <v>#NAME?</v>
      </c>
      <c r="Y26" t="str">
        <f t="shared" ca="1" si="13"/>
        <v/>
      </c>
      <c r="Z26" t="str">
        <f t="shared" ca="1" si="13"/>
        <v/>
      </c>
      <c r="AA26" t="str">
        <f t="shared" ca="1" si="13"/>
        <v/>
      </c>
      <c r="AB26" t="str">
        <f t="shared" ca="1" si="13"/>
        <v/>
      </c>
    </row>
    <row r="27" spans="9:28">
      <c r="I27" s="9" t="str">
        <f ca="1">'ОРТ муж'!B27&amp;'ОРТ муж'!K27</f>
        <v>45</v>
      </c>
      <c r="J27" s="9" t="str">
        <f ca="1">'ОРТ муж'!K27&amp;'ОРТ муж'!B27</f>
        <v>54</v>
      </c>
    </row>
    <row r="28" spans="9:28">
      <c r="I28" s="9" t="str">
        <f ca="1">'ОРТ муж'!B28&amp;'ОРТ муж'!K28</f>
        <v/>
      </c>
      <c r="J28" s="9" t="str">
        <f ca="1">'ОРТ муж'!K28&amp;'ОРТ муж'!B28</f>
        <v/>
      </c>
      <c r="L28" t="str">
        <f t="shared" ref="L28:L43" ca="1" si="14">"№"&amp;L11&amp;U11</f>
        <v>№</v>
      </c>
      <c r="M28" t="e">
        <f t="shared" ref="M28:M43" ca="1" si="15">"№"&amp;M11&amp;V11</f>
        <v>#NAME?</v>
      </c>
      <c r="N28" t="e">
        <f t="shared" ref="N28:N43" ca="1" si="16">"№"&amp;N11&amp;W11</f>
        <v>#NAME?</v>
      </c>
      <c r="O28" t="e">
        <f t="shared" ref="O28:O43" ca="1" si="17">"№"&amp;O11&amp;X11</f>
        <v>#NAME?</v>
      </c>
      <c r="P28" t="e">
        <f t="shared" ref="P28:P43" ca="1" si="18">"№"&amp;P11&amp;Y11</f>
        <v>#NAME?</v>
      </c>
      <c r="Q28" t="e">
        <f t="shared" ref="Q28:Q43" ca="1" si="19">"№"&amp;Q11&amp;Z11</f>
        <v>#NAME?</v>
      </c>
      <c r="R28" t="e">
        <f t="shared" ref="R28:R43" ca="1" si="20">"№"&amp;R11&amp;AA11</f>
        <v>#NAME?</v>
      </c>
      <c r="S28" t="e">
        <f t="shared" ref="S28:S43" ca="1" si="21">"№"&amp;S11&amp;AB11</f>
        <v>#NAME?</v>
      </c>
    </row>
    <row r="29" spans="9:28">
      <c r="L29" t="str">
        <f t="shared" ca="1" si="14"/>
        <v>№</v>
      </c>
      <c r="M29" t="e">
        <f t="shared" ca="1" si="15"/>
        <v>#NAME?</v>
      </c>
      <c r="N29" t="e">
        <f t="shared" ca="1" si="16"/>
        <v>#NAME?</v>
      </c>
      <c r="O29" t="e">
        <f t="shared" ca="1" si="17"/>
        <v>#NAME?</v>
      </c>
      <c r="P29" t="e">
        <f t="shared" ca="1" si="18"/>
        <v>#NAME?</v>
      </c>
      <c r="Q29" t="e">
        <f t="shared" ca="1" si="19"/>
        <v>#NAME?</v>
      </c>
      <c r="R29" t="e">
        <f t="shared" ca="1" si="20"/>
        <v>#NAME?</v>
      </c>
      <c r="S29" t="e">
        <f t="shared" ca="1" si="21"/>
        <v>#NAME?</v>
      </c>
    </row>
    <row r="30" spans="9:28">
      <c r="I30" s="9" t="str">
        <f ca="1">'ОРТ муж'!B30&amp;'ОРТ муж'!K30</f>
        <v>85</v>
      </c>
      <c r="J30" s="9" t="str">
        <f ca="1">'ОРТ муж'!K30&amp;'ОРТ муж'!B30</f>
        <v>58</v>
      </c>
      <c r="L30" t="e">
        <f t="shared" ca="1" si="14"/>
        <v>#NAME?</v>
      </c>
      <c r="M30" t="str">
        <f t="shared" ca="1" si="15"/>
        <v>№</v>
      </c>
      <c r="N30" t="e">
        <f t="shared" ca="1" si="16"/>
        <v>#NAME?</v>
      </c>
      <c r="O30" t="e">
        <f t="shared" ca="1" si="17"/>
        <v>#NAME?</v>
      </c>
      <c r="P30" t="e">
        <f t="shared" ca="1" si="18"/>
        <v>#NAME?</v>
      </c>
      <c r="Q30" t="e">
        <f t="shared" ca="1" si="19"/>
        <v>#NAME?</v>
      </c>
      <c r="R30" t="e">
        <f t="shared" ca="1" si="20"/>
        <v>#NAME?</v>
      </c>
      <c r="S30" t="e">
        <f t="shared" ca="1" si="21"/>
        <v>#NAME?</v>
      </c>
    </row>
    <row r="31" spans="9:28">
      <c r="I31" s="9" t="str">
        <f ca="1">'ОРТ муж'!B31&amp;'ОРТ муж'!K31</f>
        <v>64</v>
      </c>
      <c r="J31" s="9" t="str">
        <f ca="1">'ОРТ муж'!K31&amp;'ОРТ муж'!B31</f>
        <v>46</v>
      </c>
      <c r="L31" t="e">
        <f t="shared" ca="1" si="14"/>
        <v>#NAME?</v>
      </c>
      <c r="M31" t="str">
        <f t="shared" ca="1" si="15"/>
        <v>№</v>
      </c>
      <c r="N31" t="e">
        <f t="shared" ca="1" si="16"/>
        <v>#NAME?</v>
      </c>
      <c r="O31" t="e">
        <f t="shared" ca="1" si="17"/>
        <v>#NAME?</v>
      </c>
      <c r="P31" t="e">
        <f t="shared" ca="1" si="18"/>
        <v>#NAME?</v>
      </c>
      <c r="Q31" t="e">
        <f t="shared" ca="1" si="19"/>
        <v>#NAME?</v>
      </c>
      <c r="R31" t="e">
        <f t="shared" ca="1" si="20"/>
        <v>#NAME?</v>
      </c>
      <c r="S31" t="e">
        <f t="shared" ca="1" si="21"/>
        <v>#NAME?</v>
      </c>
    </row>
    <row r="32" spans="9:28">
      <c r="I32" s="9" t="str">
        <f ca="1">'ОРТ муж'!B32&amp;'ОРТ муж'!K32</f>
        <v>73</v>
      </c>
      <c r="J32" s="9" t="str">
        <f ca="1">'ОРТ муж'!K32&amp;'ОРТ муж'!B32</f>
        <v>37</v>
      </c>
      <c r="L32" t="e">
        <f t="shared" ca="1" si="14"/>
        <v>#NAME?</v>
      </c>
      <c r="M32" t="e">
        <f t="shared" ca="1" si="15"/>
        <v>#NAME?</v>
      </c>
      <c r="N32" t="str">
        <f t="shared" ca="1" si="16"/>
        <v>№</v>
      </c>
      <c r="O32" t="e">
        <f t="shared" ca="1" si="17"/>
        <v>#NAME?</v>
      </c>
      <c r="P32" t="e">
        <f t="shared" ca="1" si="18"/>
        <v>#NAME?</v>
      </c>
      <c r="Q32" t="e">
        <f t="shared" ca="1" si="19"/>
        <v>#NAME?</v>
      </c>
      <c r="R32" t="e">
        <f t="shared" ca="1" si="20"/>
        <v>#NAME?</v>
      </c>
      <c r="S32" t="e">
        <f t="shared" ca="1" si="21"/>
        <v>#NAME?</v>
      </c>
    </row>
    <row r="33" spans="9:19">
      <c r="I33" s="9" t="str">
        <f ca="1">'ОРТ муж'!B33&amp;'ОРТ муж'!K33</f>
        <v>12</v>
      </c>
      <c r="J33" s="9" t="str">
        <f ca="1">'ОРТ муж'!K33&amp;'ОРТ муж'!B33</f>
        <v>21</v>
      </c>
      <c r="L33" t="e">
        <f t="shared" ca="1" si="14"/>
        <v>#NAME?</v>
      </c>
      <c r="M33" t="e">
        <f t="shared" ca="1" si="15"/>
        <v>#NAME?</v>
      </c>
      <c r="N33" t="str">
        <f t="shared" ca="1" si="16"/>
        <v>№</v>
      </c>
      <c r="O33" t="e">
        <f t="shared" ca="1" si="17"/>
        <v>#NAME?</v>
      </c>
      <c r="P33" t="e">
        <f t="shared" ca="1" si="18"/>
        <v>#NAME?</v>
      </c>
      <c r="Q33" t="e">
        <f t="shared" ca="1" si="19"/>
        <v>#NAME?</v>
      </c>
      <c r="R33" t="e">
        <f t="shared" ca="1" si="20"/>
        <v>#NAME?</v>
      </c>
      <c r="S33" t="e">
        <f t="shared" ca="1" si="21"/>
        <v>#NAME?</v>
      </c>
    </row>
    <row r="34" spans="9:19">
      <c r="I34" s="9" t="str">
        <f ca="1">'ОРТ муж'!B34&amp;'ОРТ муж'!K34</f>
        <v/>
      </c>
      <c r="J34" s="9" t="str">
        <f ca="1">'ОРТ муж'!K34&amp;'ОРТ муж'!B34</f>
        <v/>
      </c>
      <c r="L34" t="e">
        <f t="shared" ca="1" si="14"/>
        <v>#NAME?</v>
      </c>
      <c r="M34" t="e">
        <f t="shared" ca="1" si="15"/>
        <v>#NAME?</v>
      </c>
      <c r="N34" t="e">
        <f t="shared" ca="1" si="16"/>
        <v>#NAME?</v>
      </c>
      <c r="O34" t="str">
        <f t="shared" ca="1" si="17"/>
        <v>№</v>
      </c>
      <c r="P34" t="e">
        <f t="shared" ca="1" si="18"/>
        <v>#NAME?</v>
      </c>
      <c r="Q34" t="e">
        <f t="shared" ca="1" si="19"/>
        <v>#NAME?</v>
      </c>
      <c r="R34" t="e">
        <f t="shared" ca="1" si="20"/>
        <v>#NAME?</v>
      </c>
      <c r="S34" t="e">
        <f t="shared" ca="1" si="21"/>
        <v>#NAME?</v>
      </c>
    </row>
    <row r="35" spans="9:19">
      <c r="L35" t="e">
        <f t="shared" ca="1" si="14"/>
        <v>#NAME?</v>
      </c>
      <c r="M35" t="e">
        <f t="shared" ca="1" si="15"/>
        <v>#NAME?</v>
      </c>
      <c r="N35" t="e">
        <f t="shared" ca="1" si="16"/>
        <v>#NAME?</v>
      </c>
      <c r="O35" t="str">
        <f t="shared" ca="1" si="17"/>
        <v>№</v>
      </c>
      <c r="P35" t="e">
        <f t="shared" ca="1" si="18"/>
        <v>#NAME?</v>
      </c>
      <c r="Q35" t="e">
        <f t="shared" ca="1" si="19"/>
        <v>#NAME?</v>
      </c>
      <c r="R35" t="e">
        <f t="shared" ca="1" si="20"/>
        <v>#NAME?</v>
      </c>
      <c r="S35" t="e">
        <f t="shared" ca="1" si="21"/>
        <v>#NAME?</v>
      </c>
    </row>
    <row r="36" spans="9:19">
      <c r="I36" s="9" t="str">
        <f ca="1">'ОРТ муж'!B36&amp;'ОРТ муж'!K36</f>
        <v>28</v>
      </c>
      <c r="J36" s="9" t="str">
        <f ca="1">'ОРТ муж'!K36&amp;'ОРТ муж'!B36</f>
        <v>82</v>
      </c>
      <c r="L36" t="e">
        <f t="shared" ca="1" si="14"/>
        <v>#NAME?</v>
      </c>
      <c r="M36" t="e">
        <f t="shared" ca="1" si="15"/>
        <v>#NAME?</v>
      </c>
      <c r="N36" t="e">
        <f t="shared" ca="1" si="16"/>
        <v>#NAME?</v>
      </c>
      <c r="O36" t="e">
        <f t="shared" ca="1" si="17"/>
        <v>#NAME?</v>
      </c>
      <c r="P36" t="str">
        <f t="shared" ca="1" si="18"/>
        <v>№</v>
      </c>
      <c r="Q36" t="e">
        <f t="shared" ca="1" si="19"/>
        <v>#NAME?</v>
      </c>
      <c r="R36" t="e">
        <f t="shared" ca="1" si="20"/>
        <v>#NAME?</v>
      </c>
      <c r="S36" t="e">
        <f t="shared" ca="1" si="21"/>
        <v>#NAME?</v>
      </c>
    </row>
    <row r="37" spans="9:19">
      <c r="I37" s="9" t="str">
        <f ca="1">'ОРТ муж'!B37&amp;'ОРТ муж'!K37</f>
        <v>31</v>
      </c>
      <c r="J37" s="9" t="str">
        <f ca="1">'ОРТ муж'!K37&amp;'ОРТ муж'!B37</f>
        <v>13</v>
      </c>
      <c r="L37" t="e">
        <f t="shared" ca="1" si="14"/>
        <v>#NAME?</v>
      </c>
      <c r="M37" t="e">
        <f t="shared" ca="1" si="15"/>
        <v>#NAME?</v>
      </c>
      <c r="N37" t="e">
        <f t="shared" ca="1" si="16"/>
        <v>#NAME?</v>
      </c>
      <c r="O37" t="e">
        <f t="shared" ca="1" si="17"/>
        <v>#NAME?</v>
      </c>
      <c r="P37" t="str">
        <f t="shared" ca="1" si="18"/>
        <v>№</v>
      </c>
      <c r="Q37" t="e">
        <f t="shared" ca="1" si="19"/>
        <v>#NAME?</v>
      </c>
      <c r="R37" t="e">
        <f t="shared" ca="1" si="20"/>
        <v>#NAME?</v>
      </c>
      <c r="S37" t="e">
        <f t="shared" ca="1" si="21"/>
        <v>#NAME?</v>
      </c>
    </row>
    <row r="38" spans="9:19">
      <c r="I38" s="9" t="str">
        <f ca="1">'ОРТ муж'!B38&amp;'ОРТ муж'!K38</f>
        <v>47</v>
      </c>
      <c r="J38" s="9" t="str">
        <f ca="1">'ОРТ муж'!K38&amp;'ОРТ муж'!B38</f>
        <v>74</v>
      </c>
      <c r="L38" t="e">
        <f t="shared" ca="1" si="14"/>
        <v>#NAME?</v>
      </c>
      <c r="M38" t="e">
        <f t="shared" ca="1" si="15"/>
        <v>#NAME?</v>
      </c>
      <c r="N38" t="e">
        <f t="shared" ca="1" si="16"/>
        <v>#NAME?</v>
      </c>
      <c r="O38" t="e">
        <f t="shared" ca="1" si="17"/>
        <v>#NAME?</v>
      </c>
      <c r="P38" t="e">
        <f t="shared" ca="1" si="18"/>
        <v>#NAME?</v>
      </c>
      <c r="Q38" t="str">
        <f t="shared" ca="1" si="19"/>
        <v>№</v>
      </c>
      <c r="R38" t="e">
        <f t="shared" ca="1" si="20"/>
        <v>#NAME?</v>
      </c>
      <c r="S38" t="e">
        <f t="shared" ca="1" si="21"/>
        <v>#NAME?</v>
      </c>
    </row>
    <row r="39" spans="9:19">
      <c r="I39" s="9" t="str">
        <f ca="1">'ОРТ муж'!B39&amp;'ОРТ муж'!K39</f>
        <v>56</v>
      </c>
      <c r="J39" s="9" t="str">
        <f ca="1">'ОРТ муж'!K39&amp;'ОРТ муж'!B39</f>
        <v>65</v>
      </c>
      <c r="L39" t="e">
        <f t="shared" ca="1" si="14"/>
        <v>#NAME?</v>
      </c>
      <c r="M39" t="e">
        <f t="shared" ca="1" si="15"/>
        <v>#NAME?</v>
      </c>
      <c r="N39" t="e">
        <f t="shared" ca="1" si="16"/>
        <v>#NAME?</v>
      </c>
      <c r="O39" t="e">
        <f t="shared" ca="1" si="17"/>
        <v>#NAME?</v>
      </c>
      <c r="P39" t="e">
        <f t="shared" ca="1" si="18"/>
        <v>#NAME?</v>
      </c>
      <c r="Q39" t="str">
        <f t="shared" ca="1" si="19"/>
        <v>№</v>
      </c>
      <c r="R39" t="e">
        <f t="shared" ca="1" si="20"/>
        <v>#NAME?</v>
      </c>
      <c r="S39" t="e">
        <f t="shared" ca="1" si="21"/>
        <v>#NAME?</v>
      </c>
    </row>
    <row r="40" spans="9:19">
      <c r="I40" s="9" t="str">
        <f ca="1">'ОРТ муж'!B40&amp;'ОРТ муж'!K40</f>
        <v/>
      </c>
      <c r="J40" s="9" t="str">
        <f ca="1">'ОРТ муж'!K40&amp;'ОРТ муж'!B40</f>
        <v/>
      </c>
      <c r="L40" t="e">
        <f t="shared" ca="1" si="14"/>
        <v>#NAME?</v>
      </c>
      <c r="M40" t="e">
        <f t="shared" ca="1" si="15"/>
        <v>#NAME?</v>
      </c>
      <c r="N40" t="e">
        <f t="shared" ca="1" si="16"/>
        <v>#NAME?</v>
      </c>
      <c r="O40" t="e">
        <f t="shared" ca="1" si="17"/>
        <v>#NAME?</v>
      </c>
      <c r="P40" t="e">
        <f t="shared" ca="1" si="18"/>
        <v>#NAME?</v>
      </c>
      <c r="Q40" t="e">
        <f t="shared" ca="1" si="19"/>
        <v>#NAME?</v>
      </c>
      <c r="R40" t="str">
        <f t="shared" ca="1" si="20"/>
        <v>№</v>
      </c>
      <c r="S40" t="e">
        <f t="shared" ca="1" si="21"/>
        <v>#NAME?</v>
      </c>
    </row>
    <row r="41" spans="9:19">
      <c r="L41" t="e">
        <f t="shared" ca="1" si="14"/>
        <v>#NAME?</v>
      </c>
      <c r="M41" t="e">
        <f t="shared" ca="1" si="15"/>
        <v>#NAME?</v>
      </c>
      <c r="N41" t="e">
        <f t="shared" ca="1" si="16"/>
        <v>#NAME?</v>
      </c>
      <c r="O41" t="e">
        <f t="shared" ca="1" si="17"/>
        <v>#NAME?</v>
      </c>
      <c r="P41" t="e">
        <f t="shared" ca="1" si="18"/>
        <v>#NAME?</v>
      </c>
      <c r="Q41" t="e">
        <f t="shared" ca="1" si="19"/>
        <v>#NAME?</v>
      </c>
      <c r="R41" t="str">
        <f t="shared" ca="1" si="20"/>
        <v>№</v>
      </c>
      <c r="S41" t="e">
        <f t="shared" ca="1" si="21"/>
        <v>#NAME?</v>
      </c>
    </row>
    <row r="42" spans="9:19">
      <c r="I42" s="9" t="str">
        <f ca="1">'ОРТ муж'!B42&amp;'ОРТ муж'!K42</f>
        <v>86</v>
      </c>
      <c r="J42" s="9" t="str">
        <f ca="1">'ОРТ муж'!K42&amp;'ОРТ муж'!B42</f>
        <v>68</v>
      </c>
      <c r="L42" t="e">
        <f t="shared" ca="1" si="14"/>
        <v>#NAME?</v>
      </c>
      <c r="M42" t="e">
        <f t="shared" ca="1" si="15"/>
        <v>#NAME?</v>
      </c>
      <c r="N42" t="e">
        <f t="shared" ca="1" si="16"/>
        <v>#NAME?</v>
      </c>
      <c r="O42" t="e">
        <f t="shared" ca="1" si="17"/>
        <v>#NAME?</v>
      </c>
      <c r="P42" t="e">
        <f t="shared" ca="1" si="18"/>
        <v>#NAME?</v>
      </c>
      <c r="Q42" t="e">
        <f t="shared" ca="1" si="19"/>
        <v>#NAME?</v>
      </c>
      <c r="R42" t="e">
        <f t="shared" ca="1" si="20"/>
        <v>#NAME?</v>
      </c>
      <c r="S42" t="str">
        <f t="shared" ca="1" si="21"/>
        <v>№</v>
      </c>
    </row>
    <row r="43" spans="9:19">
      <c r="I43" s="9" t="str">
        <f ca="1">'ОРТ муж'!B43&amp;'ОРТ муж'!K43</f>
        <v>75</v>
      </c>
      <c r="J43" s="9" t="str">
        <f ca="1">'ОРТ муж'!K43&amp;'ОРТ муж'!B43</f>
        <v>57</v>
      </c>
      <c r="L43" t="e">
        <f t="shared" ca="1" si="14"/>
        <v>#NAME?</v>
      </c>
      <c r="M43" t="e">
        <f t="shared" ca="1" si="15"/>
        <v>#NAME?</v>
      </c>
      <c r="N43" t="e">
        <f t="shared" ca="1" si="16"/>
        <v>#NAME?</v>
      </c>
      <c r="O43" t="e">
        <f t="shared" ca="1" si="17"/>
        <v>#NAME?</v>
      </c>
      <c r="P43" t="e">
        <f t="shared" ca="1" si="18"/>
        <v>#NAME?</v>
      </c>
      <c r="Q43" t="e">
        <f t="shared" ca="1" si="19"/>
        <v>#NAME?</v>
      </c>
      <c r="R43" t="e">
        <f t="shared" ca="1" si="20"/>
        <v>#NAME?</v>
      </c>
      <c r="S43" t="str">
        <f t="shared" ca="1" si="21"/>
        <v>№</v>
      </c>
    </row>
    <row r="44" spans="9:19">
      <c r="I44" s="9" t="str">
        <f ca="1">'ОРТ муж'!B44&amp;'ОРТ муж'!K44</f>
        <v>14</v>
      </c>
      <c r="J44" s="9" t="str">
        <f ca="1">'ОРТ муж'!K44&amp;'ОРТ муж'!B44</f>
        <v>41</v>
      </c>
    </row>
    <row r="45" spans="9:19">
      <c r="I45" s="9" t="str">
        <f ca="1">'ОРТ муж'!B45&amp;'ОРТ муж'!K45</f>
        <v>23</v>
      </c>
      <c r="J45" s="9" t="str">
        <f ca="1">'ОРТ муж'!K45&amp;'ОРТ муж'!B45</f>
        <v>32</v>
      </c>
    </row>
    <row r="46" spans="9:19">
      <c r="I46" s="9" t="str">
        <f ca="1">'ОРТ муж'!B46&amp;'ОРТ муж'!K46</f>
        <v/>
      </c>
      <c r="J46" s="9" t="str">
        <f ca="1">'ОРТ муж'!K46&amp;'ОРТ муж'!B46</f>
        <v/>
      </c>
    </row>
    <row r="48" spans="9:19">
      <c r="I48" s="9" t="str">
        <f ca="1">'ОРТ муж'!B48&amp;'ОРТ муж'!K48</f>
        <v>38</v>
      </c>
      <c r="J48" s="9" t="str">
        <f ca="1">'ОРТ муж'!K48&amp;'ОРТ муж'!B48</f>
        <v>83</v>
      </c>
    </row>
    <row r="49" spans="9:10">
      <c r="I49" s="9" t="str">
        <f ca="1">'ОРТ муж'!B49&amp;'ОРТ муж'!K49</f>
        <v>42</v>
      </c>
      <c r="J49" s="9" t="str">
        <f ca="1">'ОРТ муж'!K49&amp;'ОРТ муж'!B49</f>
        <v>24</v>
      </c>
    </row>
    <row r="50" spans="9:10">
      <c r="I50" s="9" t="str">
        <f ca="1">'ОРТ муж'!B50&amp;'ОРТ муж'!K50</f>
        <v>51</v>
      </c>
      <c r="J50" s="9" t="str">
        <f ca="1">'ОРТ муж'!K50&amp;'ОРТ муж'!B50</f>
        <v>15</v>
      </c>
    </row>
    <row r="51" spans="9:10">
      <c r="I51" s="9" t="str">
        <f ca="1">'ОРТ муж'!B51&amp;'ОРТ муж'!K51</f>
        <v>67</v>
      </c>
      <c r="J51" s="9" t="str">
        <f ca="1">'ОРТ муж'!K51&amp;'ОРТ муж'!B51</f>
        <v>76</v>
      </c>
    </row>
    <row r="52" spans="9:10">
      <c r="I52" s="9" t="str">
        <f ca="1">'ОРТ муж'!B52&amp;'ОРТ муж'!K52</f>
        <v/>
      </c>
      <c r="J52" s="9" t="str">
        <f ca="1">'ОРТ муж'!K52&amp;'ОРТ муж'!B52</f>
        <v/>
      </c>
    </row>
    <row r="54" spans="9:10">
      <c r="I54" s="9" t="str">
        <f ca="1">'ОРТ муж'!B54&amp;'ОРТ муж'!K54</f>
        <v>87</v>
      </c>
      <c r="J54" s="9" t="str">
        <f ca="1">'ОРТ муж'!K54&amp;'ОРТ муж'!B54</f>
        <v>78</v>
      </c>
    </row>
    <row r="55" spans="9:10">
      <c r="I55" s="9" t="str">
        <f ca="1">'ОРТ муж'!B55&amp;'ОРТ муж'!K55</f>
        <v>16</v>
      </c>
      <c r="J55" s="9" t="str">
        <f ca="1">'ОРТ муж'!K55&amp;'ОРТ муж'!B55</f>
        <v>61</v>
      </c>
    </row>
    <row r="56" spans="9:10">
      <c r="I56" s="9" t="str">
        <f ca="1">'ОРТ муж'!B56&amp;'ОРТ муж'!K56</f>
        <v>25</v>
      </c>
      <c r="J56" s="9" t="str">
        <f ca="1">'ОРТ муж'!K56&amp;'ОРТ муж'!B56</f>
        <v>52</v>
      </c>
    </row>
    <row r="57" spans="9:10">
      <c r="I57" s="9" t="str">
        <f ca="1">'ОРТ муж'!B57&amp;'ОРТ муж'!K57</f>
        <v>34</v>
      </c>
      <c r="J57" s="9" t="str">
        <f ca="1">'ОРТ муж'!K57&amp;'ОРТ муж'!B57</f>
        <v>43</v>
      </c>
    </row>
    <row r="58" spans="9:10">
      <c r="I58" s="9" t="str">
        <f ca="1">'ОРТ муж'!B58&amp;'ОРТ муж'!K58</f>
        <v/>
      </c>
      <c r="J58" s="9" t="str">
        <f ca="1">'ОРТ муж'!K58&amp;'ОРТ муж'!B58</f>
        <v/>
      </c>
    </row>
    <row r="60" spans="9:10">
      <c r="I60" s="9" t="str">
        <f ca="1">'ОРТ муж'!B60&amp;'ОРТ муж'!K60</f>
        <v>48</v>
      </c>
      <c r="J60" s="9" t="str">
        <f ca="1">'ОРТ муж'!K60&amp;'ОРТ муж'!B60</f>
        <v>84</v>
      </c>
    </row>
    <row r="61" spans="9:10">
      <c r="I61" s="9" t="str">
        <f ca="1">'ОРТ муж'!B61&amp;'ОРТ муж'!K61</f>
        <v>53</v>
      </c>
      <c r="J61" s="9" t="str">
        <f ca="1">'ОРТ муж'!K61&amp;'ОРТ муж'!B61</f>
        <v>35</v>
      </c>
    </row>
    <row r="62" spans="9:10">
      <c r="I62" s="9" t="str">
        <f ca="1">'ОРТ муж'!B62&amp;'ОРТ муж'!K62</f>
        <v>62</v>
      </c>
      <c r="J62" s="9" t="str">
        <f ca="1">'ОРТ муж'!K62&amp;'ОРТ муж'!B62</f>
        <v>26</v>
      </c>
    </row>
    <row r="63" spans="9:10">
      <c r="I63" s="9" t="str">
        <f ca="1">'ОРТ муж'!B63&amp;'ОРТ муж'!K63</f>
        <v>71</v>
      </c>
      <c r="J63" s="9" t="str">
        <f ca="1">'ОРТ муж'!K63&amp;'ОРТ муж'!B63</f>
        <v>17</v>
      </c>
    </row>
    <row r="67" spans="12:12">
      <c r="L67" t="s">
        <v>10</v>
      </c>
    </row>
  </sheetData>
  <sheetCalcPr fullCalcOnLoad="1"/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K18"/>
  <sheetViews>
    <sheetView zoomScaleNormal="100" workbookViewId="0">
      <selection activeCell="A15" sqref="A15:H18"/>
    </sheetView>
  </sheetViews>
  <sheetFormatPr defaultRowHeight="15"/>
  <cols>
    <col min="2" max="2" width="23.42578125" customWidth="1"/>
    <col min="3" max="3" width="22.42578125" customWidth="1"/>
    <col min="4" max="4" width="36.7109375" customWidth="1"/>
  </cols>
  <sheetData>
    <row r="1" spans="1:11" ht="54" customHeight="1">
      <c r="A1" s="140" t="s">
        <v>90</v>
      </c>
      <c r="B1" s="140"/>
      <c r="C1" s="140"/>
      <c r="D1" s="140"/>
      <c r="E1" s="73"/>
      <c r="F1" s="73"/>
      <c r="G1" s="73"/>
      <c r="H1" s="73"/>
      <c r="I1" s="73"/>
      <c r="J1" s="73"/>
      <c r="K1" s="73"/>
    </row>
    <row r="2" spans="1:11" ht="102.75" customHeight="1">
      <c r="A2" s="141" t="s">
        <v>101</v>
      </c>
      <c r="B2" s="141"/>
      <c r="C2" s="141"/>
      <c r="D2" s="141"/>
      <c r="E2" s="74"/>
      <c r="F2" s="74"/>
      <c r="G2" s="75"/>
      <c r="H2" s="75"/>
      <c r="I2" s="75"/>
      <c r="J2" s="75"/>
    </row>
    <row r="3" spans="1:11" ht="15.75" thickBot="1"/>
    <row r="4" spans="1:11">
      <c r="A4" s="76" t="s">
        <v>91</v>
      </c>
      <c r="B4" s="77" t="s">
        <v>92</v>
      </c>
      <c r="C4" s="78" t="s">
        <v>93</v>
      </c>
      <c r="D4" s="79" t="s">
        <v>94</v>
      </c>
    </row>
    <row r="5" spans="1:11">
      <c r="A5" s="80">
        <v>1</v>
      </c>
      <c r="B5" s="81" t="s">
        <v>35</v>
      </c>
      <c r="C5" s="82" t="s">
        <v>98</v>
      </c>
      <c r="D5" s="83">
        <v>15</v>
      </c>
      <c r="F5" s="84"/>
      <c r="G5" s="84"/>
      <c r="H5" s="84"/>
      <c r="I5" s="84"/>
      <c r="J5" s="84"/>
      <c r="K5" s="84"/>
    </row>
    <row r="6" spans="1:11">
      <c r="A6" s="80">
        <v>2</v>
      </c>
      <c r="B6" s="93" t="s">
        <v>30</v>
      </c>
      <c r="C6" s="82" t="s">
        <v>96</v>
      </c>
      <c r="D6" s="83">
        <v>13</v>
      </c>
      <c r="F6" s="85"/>
      <c r="G6" s="84"/>
      <c r="H6" s="84"/>
      <c r="I6" s="84"/>
      <c r="J6" s="84"/>
      <c r="K6" s="84"/>
    </row>
    <row r="7" spans="1:11">
      <c r="A7" s="80">
        <v>3</v>
      </c>
      <c r="B7" s="81" t="s">
        <v>34</v>
      </c>
      <c r="C7" s="82" t="s">
        <v>98</v>
      </c>
      <c r="D7" s="83">
        <v>11</v>
      </c>
      <c r="F7" s="84"/>
      <c r="G7" s="84"/>
      <c r="H7" s="84"/>
      <c r="I7" s="84"/>
      <c r="J7" s="84"/>
      <c r="K7" s="84"/>
    </row>
    <row r="8" spans="1:11">
      <c r="A8" s="80">
        <v>4</v>
      </c>
      <c r="B8" s="81" t="s">
        <v>37</v>
      </c>
      <c r="C8" s="82" t="s">
        <v>98</v>
      </c>
      <c r="D8" s="83">
        <v>10</v>
      </c>
      <c r="F8" s="84"/>
      <c r="G8" s="84"/>
      <c r="H8" s="84"/>
      <c r="I8" s="84"/>
      <c r="J8" s="84"/>
      <c r="K8" s="84"/>
    </row>
    <row r="9" spans="1:11">
      <c r="A9" s="80">
        <v>5</v>
      </c>
      <c r="B9" s="81" t="s">
        <v>33</v>
      </c>
      <c r="C9" s="82" t="s">
        <v>98</v>
      </c>
      <c r="D9" s="83">
        <v>9</v>
      </c>
      <c r="F9" s="84"/>
      <c r="G9" s="84"/>
      <c r="H9" s="84"/>
      <c r="I9" s="84"/>
      <c r="J9" s="84"/>
      <c r="K9" s="84"/>
    </row>
    <row r="10" spans="1:11">
      <c r="A10" s="80">
        <v>6</v>
      </c>
      <c r="B10" s="81" t="s">
        <v>31</v>
      </c>
      <c r="C10" s="82" t="s">
        <v>104</v>
      </c>
      <c r="D10" s="83">
        <v>8</v>
      </c>
      <c r="F10" s="84"/>
      <c r="G10" s="84"/>
      <c r="H10" s="84"/>
      <c r="I10" s="84"/>
      <c r="J10" s="84"/>
      <c r="K10" s="84"/>
    </row>
    <row r="11" spans="1:11">
      <c r="A11" s="94" t="s">
        <v>102</v>
      </c>
      <c r="B11" s="81" t="s">
        <v>36</v>
      </c>
      <c r="C11" s="82" t="s">
        <v>98</v>
      </c>
      <c r="D11" s="83">
        <v>7</v>
      </c>
      <c r="F11" s="84"/>
      <c r="G11" s="84"/>
      <c r="H11" s="84"/>
      <c r="I11" s="84"/>
      <c r="J11" s="84"/>
      <c r="K11" s="84"/>
    </row>
    <row r="12" spans="1:11" ht="15.75" thickBot="1">
      <c r="A12" s="95" t="s">
        <v>103</v>
      </c>
      <c r="B12" s="87" t="s">
        <v>32</v>
      </c>
      <c r="C12" s="88" t="s">
        <v>98</v>
      </c>
      <c r="D12" s="89">
        <v>6</v>
      </c>
      <c r="F12" s="84"/>
      <c r="G12" s="84"/>
      <c r="H12" s="84"/>
      <c r="I12" s="84"/>
      <c r="J12" s="84"/>
      <c r="K12" s="84"/>
    </row>
    <row r="14" spans="1:11" ht="21">
      <c r="A14" s="90"/>
      <c r="B14" s="90"/>
      <c r="C14" s="90"/>
      <c r="D14" s="90"/>
      <c r="E14" s="90"/>
      <c r="F14" s="90"/>
      <c r="G14" s="65"/>
    </row>
    <row r="15" spans="1:11" ht="19.5" customHeight="1">
      <c r="A15" s="90" t="s">
        <v>99</v>
      </c>
      <c r="B15" s="90"/>
      <c r="C15" s="90"/>
      <c r="D15" s="29"/>
      <c r="E15" s="29"/>
      <c r="F15" s="29"/>
      <c r="G15" s="29"/>
      <c r="H15" s="29"/>
    </row>
    <row r="16" spans="1:11" ht="15" customHeight="1">
      <c r="A16" s="90"/>
      <c r="B16" s="90"/>
      <c r="C16" s="90"/>
      <c r="D16" s="29"/>
      <c r="E16" s="29"/>
      <c r="F16" s="29"/>
      <c r="G16" s="29"/>
      <c r="H16" s="29"/>
    </row>
    <row r="17" spans="1:8" ht="21">
      <c r="A17" s="90"/>
      <c r="B17" s="90"/>
      <c r="C17" s="90"/>
      <c r="D17" s="29"/>
      <c r="E17" s="29"/>
      <c r="F17" s="29"/>
      <c r="G17" s="29"/>
      <c r="H17" s="29"/>
    </row>
    <row r="18" spans="1:8" ht="21">
      <c r="A18" s="90" t="s">
        <v>130</v>
      </c>
      <c r="B18" s="90"/>
      <c r="C18" s="90"/>
      <c r="D18" s="29"/>
      <c r="E18" s="29"/>
      <c r="F18" s="29"/>
      <c r="G18" s="29"/>
      <c r="H18" s="29"/>
    </row>
  </sheetData>
  <mergeCells count="2">
    <mergeCell ref="A1:D1"/>
    <mergeCell ref="A2:D2"/>
  </mergeCells>
  <phoneticPr fontId="0" type="noConversion"/>
  <pageMargins left="0.75" right="0.49" top="0.7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workbookViewId="0">
      <selection activeCell="H27" sqref="H27:J27"/>
    </sheetView>
  </sheetViews>
  <sheetFormatPr defaultRowHeight="15"/>
  <cols>
    <col min="1" max="1" width="4" style="30" customWidth="1"/>
    <col min="2" max="12" width="10.28515625" customWidth="1"/>
    <col min="13" max="13" width="10.28515625" style="38" customWidth="1"/>
    <col min="14" max="15" width="10.28515625" customWidth="1"/>
  </cols>
  <sheetData>
    <row r="1" spans="2:16" ht="38.25" customHeight="1">
      <c r="B1" s="147" t="s">
        <v>39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2:16" ht="15.75" thickBot="1">
      <c r="M2"/>
    </row>
    <row r="3" spans="2:16" ht="30" customHeight="1" thickBot="1">
      <c r="B3" s="25"/>
      <c r="C3" s="132" t="s">
        <v>0</v>
      </c>
      <c r="D3" s="133"/>
      <c r="E3" s="134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6" ht="24" customHeight="1">
      <c r="B4" s="135">
        <v>1</v>
      </c>
      <c r="C4" s="136" t="s">
        <v>41</v>
      </c>
      <c r="D4" s="137"/>
      <c r="E4" s="138"/>
      <c r="F4" s="10" t="s">
        <v>7</v>
      </c>
      <c r="G4" s="6" t="str">
        <f ca="1">INDIRECT(ADDRESS(27,6))&amp;":"&amp;INDIRECT(ADDRESS(27,7))</f>
        <v>7:9</v>
      </c>
      <c r="H4" s="6" t="str">
        <f ca="1">INDIRECT(ADDRESS(31,7))&amp;":"&amp;INDIRECT(ADDRESS(31,6))</f>
        <v>13:2</v>
      </c>
      <c r="I4" s="6" t="str">
        <f ca="1">INDIRECT(ADDRESS(36,6))&amp;":"&amp;INDIRECT(ADDRESS(36,7))</f>
        <v>7:6</v>
      </c>
      <c r="J4" s="6" t="str">
        <f ca="1">INDIRECT(ADDRESS(42,7))&amp;":"&amp;INDIRECT(ADDRESS(42,6))</f>
        <v>11:6</v>
      </c>
      <c r="K4" s="21" t="str">
        <f ca="1">INDIRECT(ADDRESS(20,6))&amp;":"&amp;INDIRECT(ADDRESS(20,7))</f>
        <v>13:3</v>
      </c>
      <c r="L4" s="148">
        <f ca="1">IF(COUNT(F5:K5)=0,"",COUNTIF(F5:K5,"&gt;0")+0.5*COUNTIF(F5:K5,0))</f>
        <v>4</v>
      </c>
      <c r="M4" s="24"/>
      <c r="N4" s="131">
        <v>2</v>
      </c>
    </row>
    <row r="5" spans="2:16" ht="24" customHeight="1">
      <c r="B5" s="129"/>
      <c r="C5" s="113"/>
      <c r="D5" s="114"/>
      <c r="E5" s="115"/>
      <c r="F5" s="14" t="s">
        <v>7</v>
      </c>
      <c r="G5" s="17">
        <f ca="1">IF(LEN(INDIRECT(ADDRESS(ROW()-1, COLUMN())))=1,"",INDIRECT(ADDRESS(27,6))-INDIRECT(ADDRESS(27,7)))</f>
        <v>-2</v>
      </c>
      <c r="H5" s="17">
        <f ca="1">IF(LEN(INDIRECT(ADDRESS(ROW()-1, COLUMN())))=1,"",INDIRECT(ADDRESS(31,7))-INDIRECT(ADDRESS(31,6)))</f>
        <v>11</v>
      </c>
      <c r="I5" s="17">
        <f ca="1">IF(LEN(INDIRECT(ADDRESS(ROW()-1, COLUMN())))=1,"",INDIRECT(ADDRESS(36,6))-INDIRECT(ADDRESS(36,7)))</f>
        <v>1</v>
      </c>
      <c r="J5" s="17">
        <f ca="1">IF(LEN(INDIRECT(ADDRESS(ROW()-1, COLUMN())))=1,"",INDIRECT(ADDRESS(42,7))-INDIRECT(ADDRESS(42,6)))</f>
        <v>5</v>
      </c>
      <c r="K5" s="18">
        <f ca="1">IF(LEN(INDIRECT(ADDRESS(ROW()-1, COLUMN())))=1,"",INDIRECT(ADDRESS(20,6))-INDIRECT(ADDRESS(20,7)))</f>
        <v>10</v>
      </c>
      <c r="L5" s="145"/>
      <c r="M5" s="17">
        <f ca="1">IF(COUNT(F5:K5)=0,"",SUM(F5:K5))</f>
        <v>25</v>
      </c>
      <c r="N5" s="119"/>
    </row>
    <row r="6" spans="2:16" ht="24" customHeight="1">
      <c r="B6" s="111">
        <v>2</v>
      </c>
      <c r="C6" s="113" t="s">
        <v>42</v>
      </c>
      <c r="D6" s="114"/>
      <c r="E6" s="115"/>
      <c r="F6" s="12" t="str">
        <f ca="1">INDIRECT(ADDRESS(27,7))&amp;":"&amp;INDIRECT(ADDRESS(27,6))</f>
        <v>9:7</v>
      </c>
      <c r="G6" s="8" t="s">
        <v>7</v>
      </c>
      <c r="H6" s="7" t="str">
        <f ca="1">INDIRECT(ADDRESS(37,6))&amp;":"&amp;INDIRECT(ADDRESS(37,7))</f>
        <v>10:8</v>
      </c>
      <c r="I6" s="7" t="str">
        <f ca="1">INDIRECT(ADDRESS(41,7))&amp;":"&amp;INDIRECT(ADDRESS(41,6))</f>
        <v>10:4</v>
      </c>
      <c r="J6" s="7" t="str">
        <f ca="1">INDIRECT(ADDRESS(21,6))&amp;":"&amp;INDIRECT(ADDRESS(21,7))</f>
        <v>8:9</v>
      </c>
      <c r="K6" s="11" t="str">
        <f ca="1">INDIRECT(ADDRESS(30,6))&amp;":"&amp;INDIRECT(ADDRESS(30,7))</f>
        <v>13:6</v>
      </c>
      <c r="L6" s="145">
        <f ca="1">IF(COUNT(F7:K7)=0,"",COUNTIF(F7:K7,"&gt;0")+0.5*COUNTIF(F7:K7,0))</f>
        <v>4</v>
      </c>
      <c r="M6" s="17"/>
      <c r="N6" s="109">
        <v>1</v>
      </c>
    </row>
    <row r="7" spans="2:16" ht="24" customHeight="1">
      <c r="B7" s="129"/>
      <c r="C7" s="113"/>
      <c r="D7" s="114"/>
      <c r="E7" s="115"/>
      <c r="F7" s="23">
        <f ca="1">IF(LEN(INDIRECT(ADDRESS(ROW()-1, COLUMN())))=1,"",INDIRECT(ADDRESS(27,7))-INDIRECT(ADDRESS(27,6)))</f>
        <v>2</v>
      </c>
      <c r="G7" s="15" t="s">
        <v>7</v>
      </c>
      <c r="H7" s="17">
        <f ca="1">IF(LEN(INDIRECT(ADDRESS(ROW()-1, COLUMN())))=1,"",INDIRECT(ADDRESS(37,6))-INDIRECT(ADDRESS(37,7)))</f>
        <v>2</v>
      </c>
      <c r="I7" s="17">
        <f ca="1">IF(LEN(INDIRECT(ADDRESS(ROW()-1, COLUMN())))=1,"",INDIRECT(ADDRESS(41,7))-INDIRECT(ADDRESS(41,6)))</f>
        <v>6</v>
      </c>
      <c r="J7" s="17">
        <f ca="1">IF(LEN(INDIRECT(ADDRESS(ROW()-1, COLUMN())))=1,"",INDIRECT(ADDRESS(21,6))-INDIRECT(ADDRESS(21,7)))</f>
        <v>-1</v>
      </c>
      <c r="K7" s="18">
        <f ca="1">IF(LEN(INDIRECT(ADDRESS(ROW()-1, COLUMN())))=1,"",INDIRECT(ADDRESS(30,6))-INDIRECT(ADDRESS(30,7)))</f>
        <v>7</v>
      </c>
      <c r="L7" s="145"/>
      <c r="M7" s="17">
        <f ca="1">IF(COUNT(F7:K7)=0,"",SUM(F7:K7))</f>
        <v>16</v>
      </c>
      <c r="N7" s="119"/>
    </row>
    <row r="8" spans="2:16" ht="24" customHeight="1">
      <c r="B8" s="111">
        <v>3</v>
      </c>
      <c r="C8" s="113" t="s">
        <v>43</v>
      </c>
      <c r="D8" s="114"/>
      <c r="E8" s="115"/>
      <c r="F8" s="12" t="str">
        <f ca="1">INDIRECT(ADDRESS(31,6))&amp;":"&amp;INDIRECT(ADDRESS(31,7))</f>
        <v>2:13</v>
      </c>
      <c r="G8" s="7" t="str">
        <f ca="1">INDIRECT(ADDRESS(37,7))&amp;":"&amp;INDIRECT(ADDRESS(37,6))</f>
        <v>8:10</v>
      </c>
      <c r="H8" s="8" t="s">
        <v>7</v>
      </c>
      <c r="I8" s="7" t="str">
        <f ca="1">INDIRECT(ADDRESS(22,6))&amp;":"&amp;INDIRECT(ADDRESS(22,7))</f>
        <v>2:8</v>
      </c>
      <c r="J8" s="7" t="str">
        <f ca="1">INDIRECT(ADDRESS(26,7))&amp;":"&amp;INDIRECT(ADDRESS(26,6))</f>
        <v>9:8</v>
      </c>
      <c r="K8" s="11" t="str">
        <f ca="1">INDIRECT(ADDRESS(40,6))&amp;":"&amp;INDIRECT(ADDRESS(40,7))</f>
        <v>11:7</v>
      </c>
      <c r="L8" s="145">
        <f ca="1">IF(COUNT(F9:K9)=0,"",COUNTIF(F9:K9,"&gt;0")+0.5*COUNTIF(F9:K9,0))</f>
        <v>2</v>
      </c>
      <c r="M8" s="17"/>
      <c r="N8" s="109">
        <v>4</v>
      </c>
    </row>
    <row r="9" spans="2:16" ht="24" customHeight="1">
      <c r="B9" s="129"/>
      <c r="C9" s="113"/>
      <c r="D9" s="114"/>
      <c r="E9" s="115"/>
      <c r="F9" s="23">
        <f ca="1">IF(LEN(INDIRECT(ADDRESS(ROW()-1, COLUMN())))=1,"",INDIRECT(ADDRESS(31,6))-INDIRECT(ADDRESS(31,7)))</f>
        <v>-11</v>
      </c>
      <c r="G9" s="17">
        <f ca="1">IF(LEN(INDIRECT(ADDRESS(ROW()-1, COLUMN())))=1,"",INDIRECT(ADDRESS(37,7))-INDIRECT(ADDRESS(37,6)))</f>
        <v>-2</v>
      </c>
      <c r="H9" s="15" t="s">
        <v>7</v>
      </c>
      <c r="I9" s="17">
        <f ca="1">IF(LEN(INDIRECT(ADDRESS(ROW()-1, COLUMN())))=1,"",INDIRECT(ADDRESS(22,6))-INDIRECT(ADDRESS(22,7)))</f>
        <v>-6</v>
      </c>
      <c r="J9" s="17">
        <f ca="1">IF(LEN(INDIRECT(ADDRESS(ROW()-1, COLUMN())))=1,"",INDIRECT(ADDRESS(26,7))-INDIRECT(ADDRESS(26,6)))</f>
        <v>1</v>
      </c>
      <c r="K9" s="18">
        <f ca="1">IF(LEN(INDIRECT(ADDRESS(ROW()-1, COLUMN())))=1,"",INDIRECT(ADDRESS(40,6))-INDIRECT(ADDRESS(40,7)))</f>
        <v>4</v>
      </c>
      <c r="L9" s="145"/>
      <c r="M9" s="17">
        <f ca="1">IF(COUNT(F9:K9)=0,"",SUM(F9:K9))</f>
        <v>-14</v>
      </c>
      <c r="N9" s="119"/>
    </row>
    <row r="10" spans="2:16" ht="24" customHeight="1">
      <c r="B10" s="111">
        <v>4</v>
      </c>
      <c r="C10" s="113" t="s">
        <v>44</v>
      </c>
      <c r="D10" s="114"/>
      <c r="E10" s="115"/>
      <c r="F10" s="12" t="str">
        <f ca="1">INDIRECT(ADDRESS(36,7))&amp;":"&amp;INDIRECT(ADDRESS(36,6))</f>
        <v>6:7</v>
      </c>
      <c r="G10" s="7" t="str">
        <f ca="1">INDIRECT(ADDRESS(41,6))&amp;":"&amp;INDIRECT(ADDRESS(41,7))</f>
        <v>4:10</v>
      </c>
      <c r="H10" s="7" t="str">
        <f ca="1">INDIRECT(ADDRESS(22,7))&amp;":"&amp;INDIRECT(ADDRESS(22,6))</f>
        <v>8:2</v>
      </c>
      <c r="I10" s="8" t="s">
        <v>7</v>
      </c>
      <c r="J10" s="7" t="str">
        <f ca="1">INDIRECT(ADDRESS(32,6))&amp;":"&amp;INDIRECT(ADDRESS(32,7))</f>
        <v>8:6</v>
      </c>
      <c r="K10" s="11" t="str">
        <f ca="1">INDIRECT(ADDRESS(25,7))&amp;":"&amp;INDIRECT(ADDRESS(25,6))</f>
        <v>6:8</v>
      </c>
      <c r="L10" s="145">
        <f ca="1">IF(COUNT(F11:K11)=0,"",COUNTIF(F11:K11,"&gt;0")+0.5*COUNTIF(F11:K11,0))</f>
        <v>2</v>
      </c>
      <c r="M10" s="17"/>
      <c r="N10" s="109">
        <v>3</v>
      </c>
    </row>
    <row r="11" spans="2:16" ht="24" customHeight="1">
      <c r="B11" s="129"/>
      <c r="C11" s="113"/>
      <c r="D11" s="114"/>
      <c r="E11" s="115"/>
      <c r="F11" s="23">
        <f ca="1">IF(LEN(INDIRECT(ADDRESS(ROW()-1, COLUMN())))=1,"",INDIRECT(ADDRESS(36,7))-INDIRECT(ADDRESS(36,6)))</f>
        <v>-1</v>
      </c>
      <c r="G11" s="17">
        <f ca="1">IF(LEN(INDIRECT(ADDRESS(ROW()-1, COLUMN())))=1,"",INDIRECT(ADDRESS(41,6))-INDIRECT(ADDRESS(41,7)))</f>
        <v>-6</v>
      </c>
      <c r="H11" s="17">
        <f ca="1">IF(LEN(INDIRECT(ADDRESS(ROW()-1, COLUMN())))=1,"",INDIRECT(ADDRESS(22,7))-INDIRECT(ADDRESS(22,6)))</f>
        <v>6</v>
      </c>
      <c r="I11" s="15" t="s">
        <v>7</v>
      </c>
      <c r="J11" s="17">
        <f ca="1">IF(LEN(INDIRECT(ADDRESS(ROW()-1, COLUMN())))=1,"",INDIRECT(ADDRESS(32,6))-INDIRECT(ADDRESS(32,7)))</f>
        <v>2</v>
      </c>
      <c r="K11" s="18">
        <f ca="1">IF(LEN(INDIRECT(ADDRESS(ROW()-1, COLUMN())))=1,"",INDIRECT(ADDRESS(25,7))-INDIRECT(ADDRESS(25,6)))</f>
        <v>-2</v>
      </c>
      <c r="L11" s="145"/>
      <c r="M11" s="17">
        <f ca="1">IF(COUNT(F11:K11)=0,"",SUM(F11:K11))</f>
        <v>-1</v>
      </c>
      <c r="N11" s="119"/>
    </row>
    <row r="12" spans="2:16" ht="24" customHeight="1">
      <c r="B12" s="111">
        <v>5</v>
      </c>
      <c r="C12" s="113" t="s">
        <v>45</v>
      </c>
      <c r="D12" s="114"/>
      <c r="E12" s="115"/>
      <c r="F12" s="12" t="str">
        <f ca="1">INDIRECT(ADDRESS(42,6))&amp;":"&amp;INDIRECT(ADDRESS(42,7))</f>
        <v>6:11</v>
      </c>
      <c r="G12" s="7" t="str">
        <f ca="1">INDIRECT(ADDRESS(21,7))&amp;":"&amp;INDIRECT(ADDRESS(21,6))</f>
        <v>9:8</v>
      </c>
      <c r="H12" s="7" t="str">
        <f ca="1">INDIRECT(ADDRESS(26,6))&amp;":"&amp;INDIRECT(ADDRESS(26,7))</f>
        <v>8:9</v>
      </c>
      <c r="I12" s="7" t="str">
        <f ca="1">INDIRECT(ADDRESS(32,7))&amp;":"&amp;INDIRECT(ADDRESS(32,6))</f>
        <v>6:8</v>
      </c>
      <c r="J12" s="8" t="s">
        <v>7</v>
      </c>
      <c r="K12" s="11" t="str">
        <f ca="1">INDIRECT(ADDRESS(35,7))&amp;":"&amp;INDIRECT(ADDRESS(35,6))</f>
        <v>13:6</v>
      </c>
      <c r="L12" s="145">
        <f ca="1">IF(COUNT(F13:K13)=0,"",COUNTIF(F13:K13,"&gt;0")+0.5*COUNTIF(F13:K13,0))</f>
        <v>2</v>
      </c>
      <c r="M12" s="17"/>
      <c r="N12" s="109">
        <v>5</v>
      </c>
    </row>
    <row r="13" spans="2:16" ht="24" customHeight="1">
      <c r="B13" s="129"/>
      <c r="C13" s="113"/>
      <c r="D13" s="114"/>
      <c r="E13" s="115"/>
      <c r="F13" s="23">
        <f ca="1">IF(LEN(INDIRECT(ADDRESS(ROW()-1, COLUMN())))=1,"",INDIRECT(ADDRESS(42,6))-INDIRECT(ADDRESS(42,7)))</f>
        <v>-5</v>
      </c>
      <c r="G13" s="17">
        <f ca="1">IF(LEN(INDIRECT(ADDRESS(ROW()-1, COLUMN())))=1,"",INDIRECT(ADDRESS(21,7))-INDIRECT(ADDRESS(21,6)))</f>
        <v>1</v>
      </c>
      <c r="H13" s="17">
        <f ca="1">IF(LEN(INDIRECT(ADDRESS(ROW()-1, COLUMN())))=1,"",INDIRECT(ADDRESS(26,6))-INDIRECT(ADDRESS(26,7)))</f>
        <v>-1</v>
      </c>
      <c r="I13" s="17">
        <f ca="1">IF(LEN(INDIRECT(ADDRESS(ROW()-1, COLUMN())))=1,"",INDIRECT(ADDRESS(32,7))-INDIRECT(ADDRESS(32,6)))</f>
        <v>-2</v>
      </c>
      <c r="J13" s="15" t="s">
        <v>7</v>
      </c>
      <c r="K13" s="18">
        <f ca="1">IF(LEN(INDIRECT(ADDRESS(ROW()-1, COLUMN())))=1,"",INDIRECT(ADDRESS(35,7))-INDIRECT(ADDRESS(35,6)))</f>
        <v>7</v>
      </c>
      <c r="L13" s="145"/>
      <c r="M13" s="17">
        <f ca="1">IF(COUNT(F13:K13)=0,"",SUM(F13:K13))</f>
        <v>0</v>
      </c>
      <c r="N13" s="119"/>
    </row>
    <row r="14" spans="2:16" ht="24" customHeight="1">
      <c r="B14" s="111">
        <v>6</v>
      </c>
      <c r="C14" s="113" t="s">
        <v>46</v>
      </c>
      <c r="D14" s="114"/>
      <c r="E14" s="115"/>
      <c r="F14" s="12" t="str">
        <f ca="1">INDIRECT(ADDRESS(20,7))&amp;":"&amp;INDIRECT(ADDRESS(20,6))</f>
        <v>3:13</v>
      </c>
      <c r="G14" s="7" t="str">
        <f ca="1">INDIRECT(ADDRESS(30,7))&amp;":"&amp;INDIRECT(ADDRESS(30,6))</f>
        <v>6:13</v>
      </c>
      <c r="H14" s="7" t="str">
        <f ca="1">INDIRECT(ADDRESS(40,7))&amp;":"&amp;INDIRECT(ADDRESS(40,6))</f>
        <v>7:11</v>
      </c>
      <c r="I14" s="7" t="str">
        <f ca="1">INDIRECT(ADDRESS(25,6))&amp;":"&amp;INDIRECT(ADDRESS(25,7))</f>
        <v>8:6</v>
      </c>
      <c r="J14" s="7" t="str">
        <f ca="1">INDIRECT(ADDRESS(35,6))&amp;":"&amp;INDIRECT(ADDRESS(35,7))</f>
        <v>6:13</v>
      </c>
      <c r="K14" s="13" t="s">
        <v>7</v>
      </c>
      <c r="L14" s="145">
        <f ca="1">IF(COUNT(F15:K15)=0,"",COUNTIF(F15:K15,"&gt;0")+0.5*COUNTIF(F15:K15,0))</f>
        <v>1</v>
      </c>
      <c r="M14" s="17"/>
      <c r="N14" s="109">
        <v>6</v>
      </c>
    </row>
    <row r="15" spans="2:16" ht="24" customHeight="1" thickBot="1">
      <c r="B15" s="112"/>
      <c r="C15" s="116"/>
      <c r="D15" s="117"/>
      <c r="E15" s="118"/>
      <c r="F15" s="20">
        <f ca="1">IF(LEN(INDIRECT(ADDRESS(ROW()-1, COLUMN())))=1,"",INDIRECT(ADDRESS(20,7))-INDIRECT(ADDRESS(20,6)))</f>
        <v>-10</v>
      </c>
      <c r="G15" s="19">
        <f ca="1">IF(LEN(INDIRECT(ADDRESS(ROW()-1, COLUMN())))=1,"",INDIRECT(ADDRESS(30,7))-INDIRECT(ADDRESS(30,6)))</f>
        <v>-7</v>
      </c>
      <c r="H15" s="19">
        <f ca="1">IF(LEN(INDIRECT(ADDRESS(ROW()-1, COLUMN())))=1,"",INDIRECT(ADDRESS(40,7))-INDIRECT(ADDRESS(40,6)))</f>
        <v>-4</v>
      </c>
      <c r="I15" s="19">
        <f ca="1">IF(LEN(INDIRECT(ADDRESS(ROW()-1, COLUMN())))=1,"",INDIRECT(ADDRESS(25,6))-INDIRECT(ADDRESS(25,7)))</f>
        <v>2</v>
      </c>
      <c r="J15" s="19">
        <f ca="1">IF(LEN(INDIRECT(ADDRESS(ROW()-1, COLUMN())))=1,"",INDIRECT(ADDRESS(35,6))-INDIRECT(ADDRESS(35,7)))</f>
        <v>-7</v>
      </c>
      <c r="K15" s="16" t="s">
        <v>7</v>
      </c>
      <c r="L15" s="146"/>
      <c r="M15" s="19">
        <f ca="1">IF(COUNT(F15:K15)=0,"",SUM(F15:K15))</f>
        <v>-26</v>
      </c>
      <c r="N15" s="110"/>
    </row>
    <row r="16" spans="2:16">
      <c r="M16"/>
    </row>
    <row r="17" spans="1:13">
      <c r="M17"/>
    </row>
    <row r="18" spans="1:13">
      <c r="M18"/>
    </row>
    <row r="19" spans="1:13" s="65" customFormat="1" ht="30" customHeight="1" thickBot="1">
      <c r="A19" s="64"/>
      <c r="B19" s="106" t="s">
        <v>4</v>
      </c>
      <c r="C19" s="106"/>
      <c r="D19" s="106"/>
      <c r="E19" s="106"/>
      <c r="F19" s="106"/>
      <c r="G19" s="106"/>
      <c r="H19" s="106"/>
      <c r="I19" s="106"/>
      <c r="J19" s="106"/>
      <c r="K19" s="106"/>
    </row>
    <row r="20" spans="1:13" s="65" customFormat="1" ht="30" customHeight="1" thickBot="1">
      <c r="A20" s="64"/>
      <c r="B20" s="70">
        <v>1</v>
      </c>
      <c r="C20" s="142" t="str">
        <f ca="1">IF(ISBLANK(INDIRECT(ADDRESS(B20*2+2,3))),"",INDIRECT(ADDRESS(B20*2+2,3)))</f>
        <v>Лукина Лариса</v>
      </c>
      <c r="D20" s="142"/>
      <c r="E20" s="143"/>
      <c r="F20" s="66">
        <v>13</v>
      </c>
      <c r="G20" s="67">
        <v>3</v>
      </c>
      <c r="H20" s="144" t="str">
        <f ca="1">IF(ISBLANK(INDIRECT(ADDRESS(K20*2+2,3))),"",INDIRECT(ADDRESS(K20*2+2,3)))</f>
        <v>Пасечникова Светлана</v>
      </c>
      <c r="I20" s="142"/>
      <c r="J20" s="142"/>
      <c r="K20" s="70">
        <v>6</v>
      </c>
      <c r="L20" s="68" t="s">
        <v>131</v>
      </c>
      <c r="M20" s="63"/>
    </row>
    <row r="21" spans="1:13" s="65" customFormat="1" ht="30" customHeight="1" thickBot="1">
      <c r="A21" s="64"/>
      <c r="B21" s="70">
        <v>2</v>
      </c>
      <c r="C21" s="142" t="str">
        <f ca="1">IF(ISBLANK(INDIRECT(ADDRESS(B21*2+2,3))),"",INDIRECT(ADDRESS(B21*2+2,3)))</f>
        <v>Королькова Екатерина</v>
      </c>
      <c r="D21" s="142"/>
      <c r="E21" s="143"/>
      <c r="F21" s="66">
        <v>8</v>
      </c>
      <c r="G21" s="67">
        <v>9</v>
      </c>
      <c r="H21" s="144" t="str">
        <f ca="1">IF(ISBLANK(INDIRECT(ADDRESS(K21*2+2,3))),"",INDIRECT(ADDRESS(K21*2+2,3)))</f>
        <v>Тихомирова Елена</v>
      </c>
      <c r="I21" s="142"/>
      <c r="J21" s="142"/>
      <c r="K21" s="70">
        <v>5</v>
      </c>
      <c r="L21" s="68" t="s">
        <v>132</v>
      </c>
      <c r="M21" s="63"/>
    </row>
    <row r="22" spans="1:13" s="65" customFormat="1" ht="30" customHeight="1" thickBot="1">
      <c r="A22" s="64"/>
      <c r="B22" s="70">
        <v>3</v>
      </c>
      <c r="C22" s="142" t="str">
        <f ca="1">IF(ISBLANK(INDIRECT(ADDRESS(B22*2+2,3))),"",INDIRECT(ADDRESS(B22*2+2,3)))</f>
        <v>Турбаевская Оксана</v>
      </c>
      <c r="D22" s="142"/>
      <c r="E22" s="143"/>
      <c r="F22" s="66">
        <v>2</v>
      </c>
      <c r="G22" s="67">
        <v>8</v>
      </c>
      <c r="H22" s="144" t="str">
        <f ca="1">IF(ISBLANK(INDIRECT(ADDRESS(K22*2+2,3))),"",INDIRECT(ADDRESS(K22*2+2,3)))</f>
        <v>Минаева Екатерина</v>
      </c>
      <c r="I22" s="142"/>
      <c r="J22" s="142"/>
      <c r="K22" s="70">
        <v>4</v>
      </c>
      <c r="L22" s="68" t="s">
        <v>133</v>
      </c>
      <c r="M22" s="63"/>
    </row>
    <row r="23" spans="1:13" s="65" customFormat="1" ht="30" customHeight="1">
      <c r="A23" s="64"/>
      <c r="M23" s="71"/>
    </row>
    <row r="24" spans="1:13" s="65" customFormat="1" ht="30" customHeight="1" thickBot="1">
      <c r="A24" s="64"/>
      <c r="B24" s="106" t="s">
        <v>5</v>
      </c>
      <c r="C24" s="106"/>
      <c r="D24" s="106"/>
      <c r="E24" s="106"/>
      <c r="F24" s="106"/>
      <c r="G24" s="106"/>
      <c r="H24" s="106"/>
      <c r="I24" s="106"/>
      <c r="J24" s="106"/>
      <c r="K24" s="106"/>
      <c r="M24" s="71"/>
    </row>
    <row r="25" spans="1:13" s="65" customFormat="1" ht="30" customHeight="1" thickBot="1">
      <c r="A25" s="64"/>
      <c r="B25" s="70">
        <v>6</v>
      </c>
      <c r="C25" s="142" t="str">
        <f ca="1">IF(ISBLANK(INDIRECT(ADDRESS(B25*2+2,3))),"",INDIRECT(ADDRESS(B25*2+2,3)))</f>
        <v>Пасечникова Светлана</v>
      </c>
      <c r="D25" s="142"/>
      <c r="E25" s="143"/>
      <c r="F25" s="66">
        <v>8</v>
      </c>
      <c r="G25" s="67">
        <v>6</v>
      </c>
      <c r="H25" s="144" t="str">
        <f ca="1">IF(ISBLANK(INDIRECT(ADDRESS(K25*2+2,3))),"",INDIRECT(ADDRESS(K25*2+2,3)))</f>
        <v>Минаева Екатерина</v>
      </c>
      <c r="I25" s="142"/>
      <c r="J25" s="142"/>
      <c r="K25" s="70">
        <v>4</v>
      </c>
      <c r="L25" s="68" t="s">
        <v>134</v>
      </c>
      <c r="M25" s="63"/>
    </row>
    <row r="26" spans="1:13" s="65" customFormat="1" ht="30" customHeight="1" thickBot="1">
      <c r="A26" s="64"/>
      <c r="B26" s="70">
        <v>5</v>
      </c>
      <c r="C26" s="142" t="str">
        <f ca="1">IF(ISBLANK(INDIRECT(ADDRESS(B26*2+2,3))),"",INDIRECT(ADDRESS(B26*2+2,3)))</f>
        <v>Тихомирова Елена</v>
      </c>
      <c r="D26" s="142"/>
      <c r="E26" s="143"/>
      <c r="F26" s="66">
        <v>8</v>
      </c>
      <c r="G26" s="67">
        <v>9</v>
      </c>
      <c r="H26" s="144" t="str">
        <f ca="1">IF(ISBLANK(INDIRECT(ADDRESS(K26*2+2,3))),"",INDIRECT(ADDRESS(K26*2+2,3)))</f>
        <v>Турбаевская Оксана</v>
      </c>
      <c r="I26" s="142"/>
      <c r="J26" s="142"/>
      <c r="K26" s="70">
        <v>3</v>
      </c>
      <c r="L26" s="68" t="s">
        <v>135</v>
      </c>
      <c r="M26" s="63"/>
    </row>
    <row r="27" spans="1:13" s="65" customFormat="1" ht="30" customHeight="1" thickBot="1">
      <c r="A27" s="64"/>
      <c r="B27" s="70">
        <v>1</v>
      </c>
      <c r="C27" s="142" t="str">
        <f ca="1">IF(ISBLANK(INDIRECT(ADDRESS(B27*2+2,3))),"",INDIRECT(ADDRESS(B27*2+2,3)))</f>
        <v>Лукина Лариса</v>
      </c>
      <c r="D27" s="142"/>
      <c r="E27" s="143"/>
      <c r="F27" s="66">
        <v>7</v>
      </c>
      <c r="G27" s="67">
        <v>9</v>
      </c>
      <c r="H27" s="144" t="str">
        <f ca="1">IF(ISBLANK(INDIRECT(ADDRESS(K27*2+2,3))),"",INDIRECT(ADDRESS(K27*2+2,3)))</f>
        <v>Королькова Екатерина</v>
      </c>
      <c r="I27" s="142"/>
      <c r="J27" s="142"/>
      <c r="K27" s="70">
        <v>2</v>
      </c>
      <c r="L27" s="68" t="s">
        <v>136</v>
      </c>
      <c r="M27" s="63"/>
    </row>
    <row r="28" spans="1:13" s="65" customFormat="1" ht="30" customHeight="1">
      <c r="A28" s="64"/>
      <c r="M28" s="71"/>
    </row>
    <row r="29" spans="1:13" s="65" customFormat="1" ht="30" customHeight="1" thickBot="1">
      <c r="A29" s="64"/>
      <c r="B29" s="106" t="s">
        <v>6</v>
      </c>
      <c r="C29" s="106"/>
      <c r="D29" s="106"/>
      <c r="E29" s="106"/>
      <c r="F29" s="106"/>
      <c r="G29" s="106"/>
      <c r="H29" s="106"/>
      <c r="I29" s="106"/>
      <c r="J29" s="106"/>
      <c r="K29" s="106"/>
      <c r="M29" s="71"/>
    </row>
    <row r="30" spans="1:13" s="65" customFormat="1" ht="30" customHeight="1" thickBot="1">
      <c r="A30" s="64"/>
      <c r="B30" s="70">
        <v>2</v>
      </c>
      <c r="C30" s="142" t="str">
        <f ca="1">IF(ISBLANK(INDIRECT(ADDRESS(B30*2+2,3))),"",INDIRECT(ADDRESS(B30*2+2,3)))</f>
        <v>Королькова Екатерина</v>
      </c>
      <c r="D30" s="142"/>
      <c r="E30" s="143"/>
      <c r="F30" s="66">
        <v>13</v>
      </c>
      <c r="G30" s="67">
        <v>6</v>
      </c>
      <c r="H30" s="144" t="str">
        <f ca="1">IF(ISBLANK(INDIRECT(ADDRESS(K30*2+2,3))),"",INDIRECT(ADDRESS(K30*2+2,3)))</f>
        <v>Пасечникова Светлана</v>
      </c>
      <c r="I30" s="142"/>
      <c r="J30" s="142"/>
      <c r="K30" s="70">
        <v>6</v>
      </c>
      <c r="L30" s="68" t="s">
        <v>131</v>
      </c>
      <c r="M30" s="63"/>
    </row>
    <row r="31" spans="1:13" s="65" customFormat="1" ht="30" customHeight="1" thickBot="1">
      <c r="A31" s="64"/>
      <c r="B31" s="70">
        <v>3</v>
      </c>
      <c r="C31" s="142" t="str">
        <f ca="1">IF(ISBLANK(INDIRECT(ADDRESS(B31*2+2,3))),"",INDIRECT(ADDRESS(B31*2+2,3)))</f>
        <v>Турбаевская Оксана</v>
      </c>
      <c r="D31" s="142"/>
      <c r="E31" s="143"/>
      <c r="F31" s="66">
        <v>2</v>
      </c>
      <c r="G31" s="67">
        <v>13</v>
      </c>
      <c r="H31" s="144" t="str">
        <f ca="1">IF(ISBLANK(INDIRECT(ADDRESS(K31*2+2,3))),"",INDIRECT(ADDRESS(K31*2+2,3)))</f>
        <v>Лукина Лариса</v>
      </c>
      <c r="I31" s="142"/>
      <c r="J31" s="142"/>
      <c r="K31" s="70">
        <v>1</v>
      </c>
      <c r="L31" s="68" t="s">
        <v>132</v>
      </c>
      <c r="M31" s="63"/>
    </row>
    <row r="32" spans="1:13" s="65" customFormat="1" ht="30" customHeight="1" thickBot="1">
      <c r="A32" s="64"/>
      <c r="B32" s="70">
        <v>4</v>
      </c>
      <c r="C32" s="142" t="str">
        <f ca="1">IF(ISBLANK(INDIRECT(ADDRESS(B32*2+2,3))),"",INDIRECT(ADDRESS(B32*2+2,3)))</f>
        <v>Минаева Екатерина</v>
      </c>
      <c r="D32" s="142"/>
      <c r="E32" s="143"/>
      <c r="F32" s="66">
        <v>8</v>
      </c>
      <c r="G32" s="67">
        <v>6</v>
      </c>
      <c r="H32" s="144" t="str">
        <f ca="1">IF(ISBLANK(INDIRECT(ADDRESS(K32*2+2,3))),"",INDIRECT(ADDRESS(K32*2+2,3)))</f>
        <v>Тихомирова Елена</v>
      </c>
      <c r="I32" s="142"/>
      <c r="J32" s="142"/>
      <c r="K32" s="70">
        <v>5</v>
      </c>
      <c r="L32" s="68" t="s">
        <v>133</v>
      </c>
      <c r="M32" s="63"/>
    </row>
    <row r="33" spans="1:13" s="65" customFormat="1" ht="30" customHeight="1">
      <c r="A33" s="64"/>
      <c r="M33" s="71"/>
    </row>
    <row r="34" spans="1:13" s="65" customFormat="1" ht="30" customHeight="1" thickBot="1">
      <c r="A34" s="64"/>
      <c r="B34" s="106" t="s">
        <v>8</v>
      </c>
      <c r="C34" s="106"/>
      <c r="D34" s="106"/>
      <c r="E34" s="106"/>
      <c r="F34" s="106"/>
      <c r="G34" s="106"/>
      <c r="H34" s="106"/>
      <c r="I34" s="106"/>
      <c r="J34" s="106"/>
      <c r="K34" s="106"/>
      <c r="M34" s="71"/>
    </row>
    <row r="35" spans="1:13" s="65" customFormat="1" ht="30" customHeight="1" thickBot="1">
      <c r="A35" s="64"/>
      <c r="B35" s="70">
        <v>6</v>
      </c>
      <c r="C35" s="142" t="str">
        <f ca="1">IF(ISBLANK(INDIRECT(ADDRESS(B35*2+2,3))),"",INDIRECT(ADDRESS(B35*2+2,3)))</f>
        <v>Пасечникова Светлана</v>
      </c>
      <c r="D35" s="142"/>
      <c r="E35" s="143"/>
      <c r="F35" s="66">
        <v>6</v>
      </c>
      <c r="G35" s="67">
        <v>13</v>
      </c>
      <c r="H35" s="144" t="str">
        <f ca="1">IF(ISBLANK(INDIRECT(ADDRESS(K35*2+2,3))),"",INDIRECT(ADDRESS(K35*2+2,3)))</f>
        <v>Тихомирова Елена</v>
      </c>
      <c r="I35" s="142"/>
      <c r="J35" s="142"/>
      <c r="K35" s="70">
        <v>5</v>
      </c>
      <c r="L35" s="68" t="s">
        <v>134</v>
      </c>
      <c r="M35" s="63"/>
    </row>
    <row r="36" spans="1:13" s="65" customFormat="1" ht="30" customHeight="1" thickBot="1">
      <c r="A36" s="64"/>
      <c r="B36" s="70">
        <v>1</v>
      </c>
      <c r="C36" s="142" t="str">
        <f ca="1">IF(ISBLANK(INDIRECT(ADDRESS(B36*2+2,3))),"",INDIRECT(ADDRESS(B36*2+2,3)))</f>
        <v>Лукина Лариса</v>
      </c>
      <c r="D36" s="142"/>
      <c r="E36" s="143"/>
      <c r="F36" s="66">
        <v>7</v>
      </c>
      <c r="G36" s="67">
        <v>6</v>
      </c>
      <c r="H36" s="144" t="str">
        <f ca="1">IF(ISBLANK(INDIRECT(ADDRESS(K36*2+2,3))),"",INDIRECT(ADDRESS(K36*2+2,3)))</f>
        <v>Минаева Екатерина</v>
      </c>
      <c r="I36" s="142"/>
      <c r="J36" s="142"/>
      <c r="K36" s="70">
        <v>4</v>
      </c>
      <c r="L36" s="68" t="s">
        <v>135</v>
      </c>
      <c r="M36" s="63"/>
    </row>
    <row r="37" spans="1:13" s="65" customFormat="1" ht="30" customHeight="1" thickBot="1">
      <c r="A37" s="64"/>
      <c r="B37" s="70">
        <v>2</v>
      </c>
      <c r="C37" s="142" t="str">
        <f ca="1">IF(ISBLANK(INDIRECT(ADDRESS(B37*2+2,3))),"",INDIRECT(ADDRESS(B37*2+2,3)))</f>
        <v>Королькова Екатерина</v>
      </c>
      <c r="D37" s="142"/>
      <c r="E37" s="143"/>
      <c r="F37" s="66">
        <v>10</v>
      </c>
      <c r="G37" s="67">
        <v>8</v>
      </c>
      <c r="H37" s="144" t="str">
        <f ca="1">IF(ISBLANK(INDIRECT(ADDRESS(K37*2+2,3))),"",INDIRECT(ADDRESS(K37*2+2,3)))</f>
        <v>Турбаевская Оксана</v>
      </c>
      <c r="I37" s="142"/>
      <c r="J37" s="142"/>
      <c r="K37" s="70">
        <v>3</v>
      </c>
      <c r="L37" s="68" t="s">
        <v>136</v>
      </c>
      <c r="M37" s="63"/>
    </row>
    <row r="38" spans="1:13" s="65" customFormat="1" ht="30" customHeight="1">
      <c r="A38" s="64"/>
      <c r="M38" s="71"/>
    </row>
    <row r="39" spans="1:13" s="65" customFormat="1" ht="30" customHeight="1" thickBot="1">
      <c r="A39" s="64"/>
      <c r="B39" s="106" t="s">
        <v>9</v>
      </c>
      <c r="C39" s="106"/>
      <c r="D39" s="106"/>
      <c r="E39" s="106"/>
      <c r="F39" s="106"/>
      <c r="G39" s="106"/>
      <c r="H39" s="106"/>
      <c r="I39" s="106"/>
      <c r="J39" s="106"/>
      <c r="K39" s="106"/>
      <c r="M39" s="71"/>
    </row>
    <row r="40" spans="1:13" s="65" customFormat="1" ht="30" customHeight="1" thickBot="1">
      <c r="A40" s="64"/>
      <c r="B40" s="70">
        <v>3</v>
      </c>
      <c r="C40" s="142" t="str">
        <f ca="1">IF(ISBLANK(INDIRECT(ADDRESS(B40*2+2,3))),"",INDIRECT(ADDRESS(B40*2+2,3)))</f>
        <v>Турбаевская Оксана</v>
      </c>
      <c r="D40" s="142"/>
      <c r="E40" s="143"/>
      <c r="F40" s="66">
        <v>11</v>
      </c>
      <c r="G40" s="67">
        <v>7</v>
      </c>
      <c r="H40" s="144" t="str">
        <f ca="1">IF(ISBLANK(INDIRECT(ADDRESS(K40*2+2,3))),"",INDIRECT(ADDRESS(K40*2+2,3)))</f>
        <v>Пасечникова Светлана</v>
      </c>
      <c r="I40" s="142"/>
      <c r="J40" s="142"/>
      <c r="K40" s="70">
        <v>6</v>
      </c>
      <c r="L40" s="68" t="s">
        <v>131</v>
      </c>
      <c r="M40" s="63"/>
    </row>
    <row r="41" spans="1:13" s="65" customFormat="1" ht="30" customHeight="1" thickBot="1">
      <c r="A41" s="64"/>
      <c r="B41" s="70">
        <v>4</v>
      </c>
      <c r="C41" s="142" t="str">
        <f ca="1">IF(ISBLANK(INDIRECT(ADDRESS(B41*2+2,3))),"",INDIRECT(ADDRESS(B41*2+2,3)))</f>
        <v>Минаева Екатерина</v>
      </c>
      <c r="D41" s="142"/>
      <c r="E41" s="143"/>
      <c r="F41" s="66">
        <v>4</v>
      </c>
      <c r="G41" s="67">
        <v>10</v>
      </c>
      <c r="H41" s="144" t="str">
        <f ca="1">IF(ISBLANK(INDIRECT(ADDRESS(K41*2+2,3))),"",INDIRECT(ADDRESS(K41*2+2,3)))</f>
        <v>Королькова Екатерина</v>
      </c>
      <c r="I41" s="142"/>
      <c r="J41" s="142"/>
      <c r="K41" s="70">
        <v>2</v>
      </c>
      <c r="L41" s="68" t="s">
        <v>132</v>
      </c>
      <c r="M41" s="63"/>
    </row>
    <row r="42" spans="1:13" s="65" customFormat="1" ht="30" customHeight="1" thickBot="1">
      <c r="A42" s="64"/>
      <c r="B42" s="70">
        <v>5</v>
      </c>
      <c r="C42" s="142" t="str">
        <f ca="1">IF(ISBLANK(INDIRECT(ADDRESS(B42*2+2,3))),"",INDIRECT(ADDRESS(B42*2+2,3)))</f>
        <v>Тихомирова Елена</v>
      </c>
      <c r="D42" s="142"/>
      <c r="E42" s="143"/>
      <c r="F42" s="66">
        <v>6</v>
      </c>
      <c r="G42" s="67">
        <v>11</v>
      </c>
      <c r="H42" s="144" t="str">
        <f ca="1">IF(ISBLANK(INDIRECT(ADDRESS(K42*2+2,3))),"",INDIRECT(ADDRESS(K42*2+2,3)))</f>
        <v>Лукина Лариса</v>
      </c>
      <c r="I42" s="142"/>
      <c r="J42" s="142"/>
      <c r="K42" s="70">
        <v>1</v>
      </c>
      <c r="L42" s="68" t="s">
        <v>133</v>
      </c>
      <c r="M42" s="63"/>
    </row>
    <row r="45" spans="1:13" ht="21">
      <c r="B45" s="90" t="s">
        <v>99</v>
      </c>
      <c r="C45" s="90"/>
      <c r="D45" s="90"/>
      <c r="E45" s="29"/>
      <c r="F45" s="29"/>
      <c r="G45" s="29"/>
      <c r="H45" s="29"/>
      <c r="I45" s="29"/>
    </row>
    <row r="46" spans="1:13" ht="21">
      <c r="B46" s="90"/>
      <c r="C46" s="90"/>
      <c r="D46" s="90"/>
      <c r="E46" s="29"/>
      <c r="F46" s="29"/>
      <c r="G46" s="29"/>
      <c r="H46" s="29"/>
      <c r="I46" s="29"/>
    </row>
    <row r="47" spans="1:13" ht="21">
      <c r="B47" s="90"/>
      <c r="C47" s="90"/>
      <c r="D47" s="90"/>
      <c r="E47" s="29"/>
      <c r="F47" s="29"/>
      <c r="G47" s="29"/>
      <c r="H47" s="29"/>
      <c r="I47" s="29"/>
    </row>
    <row r="48" spans="1:13" ht="21">
      <c r="B48" s="90" t="s">
        <v>130</v>
      </c>
      <c r="C48" s="90"/>
      <c r="D48" s="90"/>
      <c r="E48" s="29"/>
      <c r="F48" s="29"/>
      <c r="G48" s="29"/>
      <c r="H48" s="29"/>
      <c r="I48" s="29"/>
    </row>
  </sheetData>
  <sheetCalcPr fullCalcOnLoad="1"/>
  <mergeCells count="61">
    <mergeCell ref="B6:B7"/>
    <mergeCell ref="C6:E7"/>
    <mergeCell ref="L6:L7"/>
    <mergeCell ref="B1:P1"/>
    <mergeCell ref="N6:N7"/>
    <mergeCell ref="C3:E3"/>
    <mergeCell ref="B4:B5"/>
    <mergeCell ref="C4:E5"/>
    <mergeCell ref="L4:L5"/>
    <mergeCell ref="N4:N5"/>
    <mergeCell ref="N10:N11"/>
    <mergeCell ref="B8:B9"/>
    <mergeCell ref="C8:E9"/>
    <mergeCell ref="L8:L9"/>
    <mergeCell ref="N8:N9"/>
    <mergeCell ref="B10:B11"/>
    <mergeCell ref="C10:E11"/>
    <mergeCell ref="L10:L11"/>
    <mergeCell ref="N12:N13"/>
    <mergeCell ref="B14:B15"/>
    <mergeCell ref="C14:E15"/>
    <mergeCell ref="L14:L15"/>
    <mergeCell ref="N14:N15"/>
    <mergeCell ref="L12:L13"/>
    <mergeCell ref="B12:B13"/>
    <mergeCell ref="C12:E13"/>
    <mergeCell ref="C21:E21"/>
    <mergeCell ref="H21:J21"/>
    <mergeCell ref="C30:E30"/>
    <mergeCell ref="H30:J30"/>
    <mergeCell ref="C26:E26"/>
    <mergeCell ref="H26:J26"/>
    <mergeCell ref="B19:K19"/>
    <mergeCell ref="C20:E20"/>
    <mergeCell ref="H20:J20"/>
    <mergeCell ref="C31:E31"/>
    <mergeCell ref="H31:J31"/>
    <mergeCell ref="B29:K29"/>
    <mergeCell ref="C22:E22"/>
    <mergeCell ref="H22:J22"/>
    <mergeCell ref="B24:K24"/>
    <mergeCell ref="C25:E25"/>
    <mergeCell ref="H25:J25"/>
    <mergeCell ref="C27:E27"/>
    <mergeCell ref="H27:J27"/>
    <mergeCell ref="C42:E42"/>
    <mergeCell ref="H42:J42"/>
    <mergeCell ref="B34:K34"/>
    <mergeCell ref="C35:E35"/>
    <mergeCell ref="H35:J35"/>
    <mergeCell ref="C36:E36"/>
    <mergeCell ref="C32:E32"/>
    <mergeCell ref="H32:J32"/>
    <mergeCell ref="C41:E41"/>
    <mergeCell ref="H41:J41"/>
    <mergeCell ref="H36:J36"/>
    <mergeCell ref="C37:E37"/>
    <mergeCell ref="H37:J37"/>
    <mergeCell ref="B39:K39"/>
    <mergeCell ref="C40:E40"/>
    <mergeCell ref="H40:J40"/>
  </mergeCells>
  <phoneticPr fontId="10" type="noConversion"/>
  <printOptions horizontalCentered="1"/>
  <pageMargins left="0.25" right="0.25" top="0.75" bottom="0.75" header="0.3" footer="0.3"/>
  <pageSetup paperSize="9" scale="6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workbookViewId="0">
      <selection activeCell="L43" sqref="L43"/>
    </sheetView>
  </sheetViews>
  <sheetFormatPr defaultRowHeight="15"/>
  <cols>
    <col min="1" max="1" width="4" style="30" customWidth="1"/>
    <col min="2" max="12" width="10.28515625" customWidth="1"/>
    <col min="13" max="13" width="10.28515625" style="38" customWidth="1"/>
    <col min="14" max="15" width="10.28515625" customWidth="1"/>
  </cols>
  <sheetData>
    <row r="1" spans="2:16" ht="38.25" customHeight="1">
      <c r="B1" s="147" t="s">
        <v>40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2:16" ht="15.75" thickBot="1">
      <c r="M2"/>
    </row>
    <row r="3" spans="2:16" ht="30" customHeight="1" thickBot="1">
      <c r="B3" s="25"/>
      <c r="C3" s="132" t="s">
        <v>0</v>
      </c>
      <c r="D3" s="133"/>
      <c r="E3" s="134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6" ht="24" customHeight="1">
      <c r="B4" s="135">
        <v>1</v>
      </c>
      <c r="C4" s="136" t="s">
        <v>47</v>
      </c>
      <c r="D4" s="137"/>
      <c r="E4" s="138"/>
      <c r="F4" s="10" t="s">
        <v>7</v>
      </c>
      <c r="G4" s="6" t="str">
        <f ca="1">INDIRECT(ADDRESS(27,6))&amp;":"&amp;INDIRECT(ADDRESS(27,7))</f>
        <v>8:11</v>
      </c>
      <c r="H4" s="6" t="str">
        <f ca="1">INDIRECT(ADDRESS(31,7))&amp;":"&amp;INDIRECT(ADDRESS(31,6))</f>
        <v>8:6</v>
      </c>
      <c r="I4" s="6" t="str">
        <f ca="1">INDIRECT(ADDRESS(36,6))&amp;":"&amp;INDIRECT(ADDRESS(36,7))</f>
        <v>7:7</v>
      </c>
      <c r="J4" s="6" t="str">
        <f ca="1">INDIRECT(ADDRESS(42,7))&amp;":"&amp;INDIRECT(ADDRESS(42,6))</f>
        <v>8:4</v>
      </c>
      <c r="K4" s="21" t="str">
        <f ca="1">INDIRECT(ADDRESS(20,6))&amp;":"&amp;INDIRECT(ADDRESS(20,7))</f>
        <v>8:4</v>
      </c>
      <c r="L4" s="148">
        <f ca="1">IF(COUNT(F5:K5)=0,"",COUNTIF(F5:K5,"&gt;0")+0.5*COUNTIF(F5:K5,0))</f>
        <v>3.5</v>
      </c>
      <c r="M4" s="24"/>
      <c r="N4" s="131">
        <v>3</v>
      </c>
    </row>
    <row r="5" spans="2:16" ht="24" customHeight="1">
      <c r="B5" s="129"/>
      <c r="C5" s="113"/>
      <c r="D5" s="114"/>
      <c r="E5" s="115"/>
      <c r="F5" s="14" t="s">
        <v>7</v>
      </c>
      <c r="G5" s="17">
        <f ca="1">IF(LEN(INDIRECT(ADDRESS(ROW()-1, COLUMN())))=1,"",INDIRECT(ADDRESS(27,6))-INDIRECT(ADDRESS(27,7)))</f>
        <v>-3</v>
      </c>
      <c r="H5" s="17">
        <f ca="1">IF(LEN(INDIRECT(ADDRESS(ROW()-1, COLUMN())))=1,"",INDIRECT(ADDRESS(31,7))-INDIRECT(ADDRESS(31,6)))</f>
        <v>2</v>
      </c>
      <c r="I5" s="17">
        <f ca="1">IF(LEN(INDIRECT(ADDRESS(ROW()-1, COLUMN())))=1,"",INDIRECT(ADDRESS(36,6))-INDIRECT(ADDRESS(36,7)))</f>
        <v>0</v>
      </c>
      <c r="J5" s="17">
        <f ca="1">IF(LEN(INDIRECT(ADDRESS(ROW()-1, COLUMN())))=1,"",INDIRECT(ADDRESS(42,7))-INDIRECT(ADDRESS(42,6)))</f>
        <v>4</v>
      </c>
      <c r="K5" s="18">
        <f ca="1">IF(LEN(INDIRECT(ADDRESS(ROW()-1, COLUMN())))=1,"",INDIRECT(ADDRESS(20,6))-INDIRECT(ADDRESS(20,7)))</f>
        <v>4</v>
      </c>
      <c r="L5" s="145"/>
      <c r="M5" s="17">
        <f ca="1">IF(COUNT(F5:K5)=0,"",SUM(F5:K5))</f>
        <v>7</v>
      </c>
      <c r="N5" s="119"/>
    </row>
    <row r="6" spans="2:16" ht="24" customHeight="1">
      <c r="B6" s="111">
        <v>2</v>
      </c>
      <c r="C6" s="113" t="s">
        <v>48</v>
      </c>
      <c r="D6" s="114"/>
      <c r="E6" s="115"/>
      <c r="F6" s="12" t="str">
        <f ca="1">INDIRECT(ADDRESS(27,7))&amp;":"&amp;INDIRECT(ADDRESS(27,6))</f>
        <v>11:8</v>
      </c>
      <c r="G6" s="8" t="s">
        <v>7</v>
      </c>
      <c r="H6" s="7" t="str">
        <f ca="1">INDIRECT(ADDRESS(37,6))&amp;":"&amp;INDIRECT(ADDRESS(37,7))</f>
        <v>13:7</v>
      </c>
      <c r="I6" s="7" t="str">
        <f ca="1">INDIRECT(ADDRESS(41,7))&amp;":"&amp;INDIRECT(ADDRESS(41,6))</f>
        <v>2:13</v>
      </c>
      <c r="J6" s="7" t="str">
        <f ca="1">INDIRECT(ADDRESS(21,6))&amp;":"&amp;INDIRECT(ADDRESS(21,7))</f>
        <v>9:9</v>
      </c>
      <c r="K6" s="11" t="str">
        <f ca="1">INDIRECT(ADDRESS(30,6))&amp;":"&amp;INDIRECT(ADDRESS(30,7))</f>
        <v>10:7</v>
      </c>
      <c r="L6" s="145">
        <f ca="1">IF(COUNT(F7:K7)=0,"",COUNTIF(F7:K7,"&gt;0")+0.5*COUNTIF(F7:K7,0))</f>
        <v>3.5</v>
      </c>
      <c r="M6" s="17"/>
      <c r="N6" s="109">
        <v>2</v>
      </c>
    </row>
    <row r="7" spans="2:16" ht="24" customHeight="1">
      <c r="B7" s="129"/>
      <c r="C7" s="113"/>
      <c r="D7" s="114"/>
      <c r="E7" s="115"/>
      <c r="F7" s="23">
        <f ca="1">IF(LEN(INDIRECT(ADDRESS(ROW()-1, COLUMN())))=1,"",INDIRECT(ADDRESS(27,7))-INDIRECT(ADDRESS(27,6)))</f>
        <v>3</v>
      </c>
      <c r="G7" s="15" t="s">
        <v>7</v>
      </c>
      <c r="H7" s="17">
        <f ca="1">IF(LEN(INDIRECT(ADDRESS(ROW()-1, COLUMN())))=1,"",INDIRECT(ADDRESS(37,6))-INDIRECT(ADDRESS(37,7)))</f>
        <v>6</v>
      </c>
      <c r="I7" s="17">
        <f ca="1">IF(LEN(INDIRECT(ADDRESS(ROW()-1, COLUMN())))=1,"",INDIRECT(ADDRESS(41,7))-INDIRECT(ADDRESS(41,6)))</f>
        <v>-11</v>
      </c>
      <c r="J7" s="17">
        <f ca="1">IF(LEN(INDIRECT(ADDRESS(ROW()-1, COLUMN())))=1,"",INDIRECT(ADDRESS(21,6))-INDIRECT(ADDRESS(21,7)))</f>
        <v>0</v>
      </c>
      <c r="K7" s="18">
        <f ca="1">IF(LEN(INDIRECT(ADDRESS(ROW()-1, COLUMN())))=1,"",INDIRECT(ADDRESS(30,6))-INDIRECT(ADDRESS(30,7)))</f>
        <v>3</v>
      </c>
      <c r="L7" s="145"/>
      <c r="M7" s="17">
        <f ca="1">IF(COUNT(F7:K7)=0,"",SUM(F7:K7))</f>
        <v>1</v>
      </c>
      <c r="N7" s="119"/>
    </row>
    <row r="8" spans="2:16" ht="24" customHeight="1">
      <c r="B8" s="111">
        <v>3</v>
      </c>
      <c r="C8" s="113" t="s">
        <v>49</v>
      </c>
      <c r="D8" s="114"/>
      <c r="E8" s="115"/>
      <c r="F8" s="12" t="str">
        <f ca="1">INDIRECT(ADDRESS(31,6))&amp;":"&amp;INDIRECT(ADDRESS(31,7))</f>
        <v>6:8</v>
      </c>
      <c r="G8" s="7" t="str">
        <f ca="1">INDIRECT(ADDRESS(37,7))&amp;":"&amp;INDIRECT(ADDRESS(37,6))</f>
        <v>7:13</v>
      </c>
      <c r="H8" s="8" t="s">
        <v>7</v>
      </c>
      <c r="I8" s="7" t="str">
        <f ca="1">INDIRECT(ADDRESS(22,6))&amp;":"&amp;INDIRECT(ADDRESS(22,7))</f>
        <v>12:8</v>
      </c>
      <c r="J8" s="7" t="str">
        <f ca="1">INDIRECT(ADDRESS(26,7))&amp;":"&amp;INDIRECT(ADDRESS(26,6))</f>
        <v>12:3</v>
      </c>
      <c r="K8" s="11" t="str">
        <f ca="1">INDIRECT(ADDRESS(40,6))&amp;":"&amp;INDIRECT(ADDRESS(40,7))</f>
        <v>13:2</v>
      </c>
      <c r="L8" s="145">
        <f ca="1">IF(COUNT(F9:K9)=0,"",COUNTIF(F9:K9,"&gt;0")+0.5*COUNTIF(F9:K9,0))</f>
        <v>3</v>
      </c>
      <c r="M8" s="17"/>
      <c r="N8" s="109">
        <v>4</v>
      </c>
    </row>
    <row r="9" spans="2:16" ht="24" customHeight="1">
      <c r="B9" s="129"/>
      <c r="C9" s="113"/>
      <c r="D9" s="114"/>
      <c r="E9" s="115"/>
      <c r="F9" s="23">
        <f ca="1">IF(LEN(INDIRECT(ADDRESS(ROW()-1, COLUMN())))=1,"",INDIRECT(ADDRESS(31,6))-INDIRECT(ADDRESS(31,7)))</f>
        <v>-2</v>
      </c>
      <c r="G9" s="17">
        <f ca="1">IF(LEN(INDIRECT(ADDRESS(ROW()-1, COLUMN())))=1,"",INDIRECT(ADDRESS(37,7))-INDIRECT(ADDRESS(37,6)))</f>
        <v>-6</v>
      </c>
      <c r="H9" s="15" t="s">
        <v>7</v>
      </c>
      <c r="I9" s="17">
        <f ca="1">IF(LEN(INDIRECT(ADDRESS(ROW()-1, COLUMN())))=1,"",INDIRECT(ADDRESS(22,6))-INDIRECT(ADDRESS(22,7)))</f>
        <v>4</v>
      </c>
      <c r="J9" s="17">
        <f ca="1">IF(LEN(INDIRECT(ADDRESS(ROW()-1, COLUMN())))=1,"",INDIRECT(ADDRESS(26,7))-INDIRECT(ADDRESS(26,6)))</f>
        <v>9</v>
      </c>
      <c r="K9" s="18">
        <f ca="1">IF(LEN(INDIRECT(ADDRESS(ROW()-1, COLUMN())))=1,"",INDIRECT(ADDRESS(40,6))-INDIRECT(ADDRESS(40,7)))</f>
        <v>11</v>
      </c>
      <c r="L9" s="145"/>
      <c r="M9" s="17">
        <f ca="1">IF(COUNT(F9:K9)=0,"",SUM(F9:K9))</f>
        <v>16</v>
      </c>
      <c r="N9" s="119"/>
    </row>
    <row r="10" spans="2:16" ht="24" customHeight="1">
      <c r="B10" s="111">
        <v>4</v>
      </c>
      <c r="C10" s="113" t="s">
        <v>50</v>
      </c>
      <c r="D10" s="114"/>
      <c r="E10" s="115"/>
      <c r="F10" s="12" t="str">
        <f ca="1">INDIRECT(ADDRESS(36,7))&amp;":"&amp;INDIRECT(ADDRESS(36,6))</f>
        <v>7:7</v>
      </c>
      <c r="G10" s="7" t="str">
        <f ca="1">INDIRECT(ADDRESS(41,6))&amp;":"&amp;INDIRECT(ADDRESS(41,7))</f>
        <v>13:2</v>
      </c>
      <c r="H10" s="7" t="str">
        <f ca="1">INDIRECT(ADDRESS(22,7))&amp;":"&amp;INDIRECT(ADDRESS(22,6))</f>
        <v>8:12</v>
      </c>
      <c r="I10" s="8" t="s">
        <v>7</v>
      </c>
      <c r="J10" s="7" t="str">
        <f ca="1">INDIRECT(ADDRESS(32,6))&amp;":"&amp;INDIRECT(ADDRESS(32,7))</f>
        <v>13:5</v>
      </c>
      <c r="K10" s="11" t="str">
        <f ca="1">INDIRECT(ADDRESS(25,7))&amp;":"&amp;INDIRECT(ADDRESS(25,6))</f>
        <v>13:0</v>
      </c>
      <c r="L10" s="145">
        <f ca="1">IF(COUNT(F11:K11)=0,"",COUNTIF(F11:K11,"&gt;0")+0.5*COUNTIF(F11:K11,0))</f>
        <v>3.5</v>
      </c>
      <c r="M10" s="17"/>
      <c r="N10" s="109">
        <v>1</v>
      </c>
    </row>
    <row r="11" spans="2:16" ht="24" customHeight="1">
      <c r="B11" s="129"/>
      <c r="C11" s="113"/>
      <c r="D11" s="114"/>
      <c r="E11" s="115"/>
      <c r="F11" s="23">
        <f ca="1">IF(LEN(INDIRECT(ADDRESS(ROW()-1, COLUMN())))=1,"",INDIRECT(ADDRESS(36,7))-INDIRECT(ADDRESS(36,6)))</f>
        <v>0</v>
      </c>
      <c r="G11" s="17">
        <f ca="1">IF(LEN(INDIRECT(ADDRESS(ROW()-1, COLUMN())))=1,"",INDIRECT(ADDRESS(41,6))-INDIRECT(ADDRESS(41,7)))</f>
        <v>11</v>
      </c>
      <c r="H11" s="17">
        <f ca="1">IF(LEN(INDIRECT(ADDRESS(ROW()-1, COLUMN())))=1,"",INDIRECT(ADDRESS(22,7))-INDIRECT(ADDRESS(22,6)))</f>
        <v>-4</v>
      </c>
      <c r="I11" s="15" t="s">
        <v>7</v>
      </c>
      <c r="J11" s="17">
        <f ca="1">IF(LEN(INDIRECT(ADDRESS(ROW()-1, COLUMN())))=1,"",INDIRECT(ADDRESS(32,6))-INDIRECT(ADDRESS(32,7)))</f>
        <v>8</v>
      </c>
      <c r="K11" s="18">
        <f ca="1">IF(LEN(INDIRECT(ADDRESS(ROW()-1, COLUMN())))=1,"",INDIRECT(ADDRESS(25,7))-INDIRECT(ADDRESS(25,6)))</f>
        <v>13</v>
      </c>
      <c r="L11" s="145"/>
      <c r="M11" s="17">
        <f ca="1">IF(COUNT(F11:K11)=0,"",SUM(F11:K11))</f>
        <v>28</v>
      </c>
      <c r="N11" s="119"/>
    </row>
    <row r="12" spans="2:16" ht="24" customHeight="1">
      <c r="B12" s="111">
        <v>5</v>
      </c>
      <c r="C12" s="113" t="s">
        <v>51</v>
      </c>
      <c r="D12" s="114"/>
      <c r="E12" s="115"/>
      <c r="F12" s="12" t="str">
        <f ca="1">INDIRECT(ADDRESS(42,6))&amp;":"&amp;INDIRECT(ADDRESS(42,7))</f>
        <v>4:8</v>
      </c>
      <c r="G12" s="7" t="str">
        <f ca="1">INDIRECT(ADDRESS(21,7))&amp;":"&amp;INDIRECT(ADDRESS(21,6))</f>
        <v>9:9</v>
      </c>
      <c r="H12" s="7" t="str">
        <f ca="1">INDIRECT(ADDRESS(26,6))&amp;":"&amp;INDIRECT(ADDRESS(26,7))</f>
        <v>3:12</v>
      </c>
      <c r="I12" s="7" t="str">
        <f ca="1">INDIRECT(ADDRESS(32,7))&amp;":"&amp;INDIRECT(ADDRESS(32,6))</f>
        <v>5:13</v>
      </c>
      <c r="J12" s="8" t="s">
        <v>7</v>
      </c>
      <c r="K12" s="11" t="str">
        <f ca="1">INDIRECT(ADDRESS(35,7))&amp;":"&amp;INDIRECT(ADDRESS(35,6))</f>
        <v>13:1</v>
      </c>
      <c r="L12" s="145">
        <f ca="1">IF(COUNT(F13:K13)=0,"",COUNTIF(F13:K13,"&gt;0")+0.5*COUNTIF(F13:K13,0))</f>
        <v>1.5</v>
      </c>
      <c r="M12" s="17"/>
      <c r="N12" s="109">
        <v>5</v>
      </c>
    </row>
    <row r="13" spans="2:16" ht="24" customHeight="1">
      <c r="B13" s="129"/>
      <c r="C13" s="113"/>
      <c r="D13" s="114"/>
      <c r="E13" s="115"/>
      <c r="F13" s="23">
        <f ca="1">IF(LEN(INDIRECT(ADDRESS(ROW()-1, COLUMN())))=1,"",INDIRECT(ADDRESS(42,6))-INDIRECT(ADDRESS(42,7)))</f>
        <v>-4</v>
      </c>
      <c r="G13" s="17">
        <f ca="1">IF(LEN(INDIRECT(ADDRESS(ROW()-1, COLUMN())))=1,"",INDIRECT(ADDRESS(21,7))-INDIRECT(ADDRESS(21,6)))</f>
        <v>0</v>
      </c>
      <c r="H13" s="17">
        <f ca="1">IF(LEN(INDIRECT(ADDRESS(ROW()-1, COLUMN())))=1,"",INDIRECT(ADDRESS(26,6))-INDIRECT(ADDRESS(26,7)))</f>
        <v>-9</v>
      </c>
      <c r="I13" s="17">
        <f ca="1">IF(LEN(INDIRECT(ADDRESS(ROW()-1, COLUMN())))=1,"",INDIRECT(ADDRESS(32,7))-INDIRECT(ADDRESS(32,6)))</f>
        <v>-8</v>
      </c>
      <c r="J13" s="15" t="s">
        <v>7</v>
      </c>
      <c r="K13" s="18">
        <f ca="1">IF(LEN(INDIRECT(ADDRESS(ROW()-1, COLUMN())))=1,"",INDIRECT(ADDRESS(35,7))-INDIRECT(ADDRESS(35,6)))</f>
        <v>12</v>
      </c>
      <c r="L13" s="145"/>
      <c r="M13" s="17">
        <f ca="1">IF(COUNT(F13:K13)=0,"",SUM(F13:K13))</f>
        <v>-9</v>
      </c>
      <c r="N13" s="119"/>
    </row>
    <row r="14" spans="2:16" ht="24" customHeight="1">
      <c r="B14" s="111">
        <v>6</v>
      </c>
      <c r="C14" s="113" t="s">
        <v>52</v>
      </c>
      <c r="D14" s="114"/>
      <c r="E14" s="115"/>
      <c r="F14" s="12" t="str">
        <f ca="1">INDIRECT(ADDRESS(20,7))&amp;":"&amp;INDIRECT(ADDRESS(20,6))</f>
        <v>4:8</v>
      </c>
      <c r="G14" s="7" t="str">
        <f ca="1">INDIRECT(ADDRESS(30,7))&amp;":"&amp;INDIRECT(ADDRESS(30,6))</f>
        <v>7:10</v>
      </c>
      <c r="H14" s="7" t="str">
        <f ca="1">INDIRECT(ADDRESS(40,7))&amp;":"&amp;INDIRECT(ADDRESS(40,6))</f>
        <v>2:13</v>
      </c>
      <c r="I14" s="7" t="str">
        <f ca="1">INDIRECT(ADDRESS(25,6))&amp;":"&amp;INDIRECT(ADDRESS(25,7))</f>
        <v>0:13</v>
      </c>
      <c r="J14" s="7" t="str">
        <f ca="1">INDIRECT(ADDRESS(35,6))&amp;":"&amp;INDIRECT(ADDRESS(35,7))</f>
        <v>1:13</v>
      </c>
      <c r="K14" s="13" t="s">
        <v>7</v>
      </c>
      <c r="L14" s="145">
        <f ca="1">IF(COUNT(F15:K15)=0,"",COUNTIF(F15:K15,"&gt;0")+0.5*COUNTIF(F15:K15,0))</f>
        <v>0</v>
      </c>
      <c r="M14" s="17"/>
      <c r="N14" s="109">
        <v>6</v>
      </c>
    </row>
    <row r="15" spans="2:16" ht="24" customHeight="1" thickBot="1">
      <c r="B15" s="112"/>
      <c r="C15" s="116"/>
      <c r="D15" s="117"/>
      <c r="E15" s="118"/>
      <c r="F15" s="20">
        <f ca="1">IF(LEN(INDIRECT(ADDRESS(ROW()-1, COLUMN())))=1,"",INDIRECT(ADDRESS(20,7))-INDIRECT(ADDRESS(20,6)))</f>
        <v>-4</v>
      </c>
      <c r="G15" s="19">
        <f ca="1">IF(LEN(INDIRECT(ADDRESS(ROW()-1, COLUMN())))=1,"",INDIRECT(ADDRESS(30,7))-INDIRECT(ADDRESS(30,6)))</f>
        <v>-3</v>
      </c>
      <c r="H15" s="19">
        <f ca="1">IF(LEN(INDIRECT(ADDRESS(ROW()-1, COLUMN())))=1,"",INDIRECT(ADDRESS(40,7))-INDIRECT(ADDRESS(40,6)))</f>
        <v>-11</v>
      </c>
      <c r="I15" s="19">
        <f ca="1">IF(LEN(INDIRECT(ADDRESS(ROW()-1, COLUMN())))=1,"",INDIRECT(ADDRESS(25,6))-INDIRECT(ADDRESS(25,7)))</f>
        <v>-13</v>
      </c>
      <c r="J15" s="19">
        <f ca="1">IF(LEN(INDIRECT(ADDRESS(ROW()-1, COLUMN())))=1,"",INDIRECT(ADDRESS(35,6))-INDIRECT(ADDRESS(35,7)))</f>
        <v>-12</v>
      </c>
      <c r="K15" s="16" t="s">
        <v>7</v>
      </c>
      <c r="L15" s="146"/>
      <c r="M15" s="19">
        <f ca="1">IF(COUNT(F15:K15)=0,"",SUM(F15:K15))</f>
        <v>-43</v>
      </c>
      <c r="N15" s="110"/>
    </row>
    <row r="16" spans="2:16">
      <c r="M16"/>
    </row>
    <row r="17" spans="1:13">
      <c r="M17"/>
    </row>
    <row r="18" spans="1:13">
      <c r="M18"/>
    </row>
    <row r="19" spans="1:13" s="65" customFormat="1" ht="30" customHeight="1" thickBot="1">
      <c r="A19" s="64"/>
      <c r="B19" s="106" t="s">
        <v>4</v>
      </c>
      <c r="C19" s="106"/>
      <c r="D19" s="106"/>
      <c r="E19" s="106"/>
      <c r="F19" s="106"/>
      <c r="G19" s="106"/>
      <c r="H19" s="106"/>
      <c r="I19" s="106"/>
      <c r="J19" s="106"/>
      <c r="K19" s="106"/>
    </row>
    <row r="20" spans="1:13" s="65" customFormat="1" ht="30" customHeight="1" thickBot="1">
      <c r="A20" s="64"/>
      <c r="B20" s="70">
        <v>1</v>
      </c>
      <c r="C20" s="142" t="str">
        <f ca="1">IF(ISBLANK(INDIRECT(ADDRESS(B20*2+2,3))),"",INDIRECT(ADDRESS(B20*2+2,3)))</f>
        <v>Семченкова Марина</v>
      </c>
      <c r="D20" s="142"/>
      <c r="E20" s="143"/>
      <c r="F20" s="66">
        <v>8</v>
      </c>
      <c r="G20" s="67">
        <v>4</v>
      </c>
      <c r="H20" s="144" t="str">
        <f ca="1">IF(ISBLANK(INDIRECT(ADDRESS(K20*2+2,3))),"",INDIRECT(ADDRESS(K20*2+2,3)))</f>
        <v>Молчанова Анастасия</v>
      </c>
      <c r="I20" s="142"/>
      <c r="J20" s="142"/>
      <c r="K20" s="70">
        <v>6</v>
      </c>
      <c r="L20" s="68" t="s">
        <v>134</v>
      </c>
      <c r="M20" s="63"/>
    </row>
    <row r="21" spans="1:13" s="65" customFormat="1" ht="30" customHeight="1" thickBot="1">
      <c r="A21" s="64"/>
      <c r="B21" s="70">
        <v>2</v>
      </c>
      <c r="C21" s="142" t="str">
        <f ca="1">IF(ISBLANK(INDIRECT(ADDRESS(B21*2+2,3))),"",INDIRECT(ADDRESS(B21*2+2,3)))</f>
        <v>Румянцева Наталья</v>
      </c>
      <c r="D21" s="142"/>
      <c r="E21" s="143"/>
      <c r="F21" s="66">
        <v>9</v>
      </c>
      <c r="G21" s="67">
        <v>9</v>
      </c>
      <c r="H21" s="144" t="str">
        <f ca="1">IF(ISBLANK(INDIRECT(ADDRESS(K21*2+2,3))),"",INDIRECT(ADDRESS(K21*2+2,3)))</f>
        <v>Мутовина Екатерина</v>
      </c>
      <c r="I21" s="142"/>
      <c r="J21" s="142"/>
      <c r="K21" s="70">
        <v>5</v>
      </c>
      <c r="L21" s="68" t="s">
        <v>135</v>
      </c>
      <c r="M21" s="63"/>
    </row>
    <row r="22" spans="1:13" s="65" customFormat="1" ht="30" customHeight="1" thickBot="1">
      <c r="A22" s="64"/>
      <c r="B22" s="70">
        <v>3</v>
      </c>
      <c r="C22" s="142" t="str">
        <f ca="1">IF(ISBLANK(INDIRECT(ADDRESS(B22*2+2,3))),"",INDIRECT(ADDRESS(B22*2+2,3)))</f>
        <v>Захарова Екатерина</v>
      </c>
      <c r="D22" s="142"/>
      <c r="E22" s="143"/>
      <c r="F22" s="66">
        <v>12</v>
      </c>
      <c r="G22" s="67">
        <v>8</v>
      </c>
      <c r="H22" s="144" t="str">
        <f ca="1">IF(ISBLANK(INDIRECT(ADDRESS(K22*2+2,3))),"",INDIRECT(ADDRESS(K22*2+2,3)))</f>
        <v>Фёдорова Юлия</v>
      </c>
      <c r="I22" s="142"/>
      <c r="J22" s="142"/>
      <c r="K22" s="70">
        <v>4</v>
      </c>
      <c r="L22" s="68" t="s">
        <v>136</v>
      </c>
      <c r="M22" s="63"/>
    </row>
    <row r="23" spans="1:13" s="65" customFormat="1" ht="30" customHeight="1">
      <c r="A23" s="64"/>
      <c r="M23" s="71"/>
    </row>
    <row r="24" spans="1:13" s="65" customFormat="1" ht="30" customHeight="1" thickBot="1">
      <c r="A24" s="64"/>
      <c r="B24" s="106" t="s">
        <v>5</v>
      </c>
      <c r="C24" s="106"/>
      <c r="D24" s="106"/>
      <c r="E24" s="106"/>
      <c r="F24" s="106"/>
      <c r="G24" s="106"/>
      <c r="H24" s="106"/>
      <c r="I24" s="106"/>
      <c r="J24" s="106"/>
      <c r="K24" s="106"/>
      <c r="M24" s="71"/>
    </row>
    <row r="25" spans="1:13" s="65" customFormat="1" ht="30" customHeight="1" thickBot="1">
      <c r="A25" s="64"/>
      <c r="B25" s="70">
        <v>6</v>
      </c>
      <c r="C25" s="142" t="str">
        <f ca="1">IF(ISBLANK(INDIRECT(ADDRESS(B25*2+2,3))),"",INDIRECT(ADDRESS(B25*2+2,3)))</f>
        <v>Молчанова Анастасия</v>
      </c>
      <c r="D25" s="142"/>
      <c r="E25" s="143"/>
      <c r="F25" s="66">
        <v>0</v>
      </c>
      <c r="G25" s="67">
        <v>13</v>
      </c>
      <c r="H25" s="144" t="str">
        <f ca="1">IF(ISBLANK(INDIRECT(ADDRESS(K25*2+2,3))),"",INDIRECT(ADDRESS(K25*2+2,3)))</f>
        <v>Фёдорова Юлия</v>
      </c>
      <c r="I25" s="142"/>
      <c r="J25" s="142"/>
      <c r="K25" s="70">
        <v>4</v>
      </c>
      <c r="L25" s="68" t="s">
        <v>131</v>
      </c>
      <c r="M25" s="63"/>
    </row>
    <row r="26" spans="1:13" s="65" customFormat="1" ht="30" customHeight="1" thickBot="1">
      <c r="A26" s="64"/>
      <c r="B26" s="70">
        <v>5</v>
      </c>
      <c r="C26" s="142" t="str">
        <f ca="1">IF(ISBLANK(INDIRECT(ADDRESS(B26*2+2,3))),"",INDIRECT(ADDRESS(B26*2+2,3)))</f>
        <v>Мутовина Екатерина</v>
      </c>
      <c r="D26" s="142"/>
      <c r="E26" s="143"/>
      <c r="F26" s="66">
        <v>3</v>
      </c>
      <c r="G26" s="67">
        <v>12</v>
      </c>
      <c r="H26" s="144" t="str">
        <f ca="1">IF(ISBLANK(INDIRECT(ADDRESS(K26*2+2,3))),"",INDIRECT(ADDRESS(K26*2+2,3)))</f>
        <v>Захарова Екатерина</v>
      </c>
      <c r="I26" s="142"/>
      <c r="J26" s="142"/>
      <c r="K26" s="70">
        <v>3</v>
      </c>
      <c r="L26" s="68" t="s">
        <v>132</v>
      </c>
      <c r="M26" s="63"/>
    </row>
    <row r="27" spans="1:13" s="65" customFormat="1" ht="30" customHeight="1" thickBot="1">
      <c r="A27" s="64"/>
      <c r="B27" s="70">
        <v>1</v>
      </c>
      <c r="C27" s="142" t="str">
        <f ca="1">IF(ISBLANK(INDIRECT(ADDRESS(B27*2+2,3))),"",INDIRECT(ADDRESS(B27*2+2,3)))</f>
        <v>Семченкова Марина</v>
      </c>
      <c r="D27" s="142"/>
      <c r="E27" s="143"/>
      <c r="F27" s="66">
        <v>8</v>
      </c>
      <c r="G27" s="67">
        <v>11</v>
      </c>
      <c r="H27" s="144" t="str">
        <f ca="1">IF(ISBLANK(INDIRECT(ADDRESS(K27*2+2,3))),"",INDIRECT(ADDRESS(K27*2+2,3)))</f>
        <v>Румянцева Наталья</v>
      </c>
      <c r="I27" s="142"/>
      <c r="J27" s="142"/>
      <c r="K27" s="70">
        <v>2</v>
      </c>
      <c r="L27" s="68" t="s">
        <v>133</v>
      </c>
      <c r="M27" s="63"/>
    </row>
    <row r="28" spans="1:13" s="65" customFormat="1" ht="30" customHeight="1">
      <c r="A28" s="64"/>
      <c r="M28" s="71"/>
    </row>
    <row r="29" spans="1:13" s="65" customFormat="1" ht="30" customHeight="1" thickBot="1">
      <c r="A29" s="64"/>
      <c r="B29" s="106" t="s">
        <v>6</v>
      </c>
      <c r="C29" s="106"/>
      <c r="D29" s="106"/>
      <c r="E29" s="106"/>
      <c r="F29" s="106"/>
      <c r="G29" s="106"/>
      <c r="H29" s="106"/>
      <c r="I29" s="106"/>
      <c r="J29" s="106"/>
      <c r="K29" s="106"/>
      <c r="M29" s="71"/>
    </row>
    <row r="30" spans="1:13" s="65" customFormat="1" ht="30" customHeight="1" thickBot="1">
      <c r="A30" s="64"/>
      <c r="B30" s="70">
        <v>2</v>
      </c>
      <c r="C30" s="142" t="str">
        <f ca="1">IF(ISBLANK(INDIRECT(ADDRESS(B30*2+2,3))),"",INDIRECT(ADDRESS(B30*2+2,3)))</f>
        <v>Румянцева Наталья</v>
      </c>
      <c r="D30" s="142"/>
      <c r="E30" s="143"/>
      <c r="F30" s="66">
        <v>10</v>
      </c>
      <c r="G30" s="67">
        <v>7</v>
      </c>
      <c r="H30" s="144" t="str">
        <f ca="1">IF(ISBLANK(INDIRECT(ADDRESS(K30*2+2,3))),"",INDIRECT(ADDRESS(K30*2+2,3)))</f>
        <v>Молчанова Анастасия</v>
      </c>
      <c r="I30" s="142"/>
      <c r="J30" s="142"/>
      <c r="K30" s="70">
        <v>6</v>
      </c>
      <c r="L30" s="68" t="s">
        <v>134</v>
      </c>
      <c r="M30" s="63"/>
    </row>
    <row r="31" spans="1:13" s="65" customFormat="1" ht="30" customHeight="1" thickBot="1">
      <c r="A31" s="64"/>
      <c r="B31" s="70">
        <v>3</v>
      </c>
      <c r="C31" s="142" t="str">
        <f ca="1">IF(ISBLANK(INDIRECT(ADDRESS(B31*2+2,3))),"",INDIRECT(ADDRESS(B31*2+2,3)))</f>
        <v>Захарова Екатерина</v>
      </c>
      <c r="D31" s="142"/>
      <c r="E31" s="143"/>
      <c r="F31" s="66">
        <v>6</v>
      </c>
      <c r="G31" s="67">
        <v>8</v>
      </c>
      <c r="H31" s="144" t="str">
        <f ca="1">IF(ISBLANK(INDIRECT(ADDRESS(K31*2+2,3))),"",INDIRECT(ADDRESS(K31*2+2,3)))</f>
        <v>Семченкова Марина</v>
      </c>
      <c r="I31" s="142"/>
      <c r="J31" s="142"/>
      <c r="K31" s="70">
        <v>1</v>
      </c>
      <c r="L31" s="68" t="s">
        <v>135</v>
      </c>
      <c r="M31" s="63"/>
    </row>
    <row r="32" spans="1:13" s="65" customFormat="1" ht="30" customHeight="1" thickBot="1">
      <c r="A32" s="64"/>
      <c r="B32" s="70">
        <v>4</v>
      </c>
      <c r="C32" s="142" t="str">
        <f ca="1">IF(ISBLANK(INDIRECT(ADDRESS(B32*2+2,3))),"",INDIRECT(ADDRESS(B32*2+2,3)))</f>
        <v>Фёдорова Юлия</v>
      </c>
      <c r="D32" s="142"/>
      <c r="E32" s="143"/>
      <c r="F32" s="66">
        <v>13</v>
      </c>
      <c r="G32" s="67">
        <v>5</v>
      </c>
      <c r="H32" s="144" t="str">
        <f ca="1">IF(ISBLANK(INDIRECT(ADDRESS(K32*2+2,3))),"",INDIRECT(ADDRESS(K32*2+2,3)))</f>
        <v>Мутовина Екатерина</v>
      </c>
      <c r="I32" s="142"/>
      <c r="J32" s="142"/>
      <c r="K32" s="70">
        <v>5</v>
      </c>
      <c r="L32" s="68" t="s">
        <v>136</v>
      </c>
      <c r="M32" s="63"/>
    </row>
    <row r="33" spans="1:13" s="65" customFormat="1" ht="30" customHeight="1">
      <c r="A33" s="64"/>
      <c r="M33" s="71"/>
    </row>
    <row r="34" spans="1:13" s="65" customFormat="1" ht="30" customHeight="1" thickBot="1">
      <c r="A34" s="64"/>
      <c r="B34" s="106" t="s">
        <v>8</v>
      </c>
      <c r="C34" s="106"/>
      <c r="D34" s="106"/>
      <c r="E34" s="106"/>
      <c r="F34" s="106"/>
      <c r="G34" s="106"/>
      <c r="H34" s="106"/>
      <c r="I34" s="106"/>
      <c r="J34" s="106"/>
      <c r="K34" s="106"/>
      <c r="M34" s="71"/>
    </row>
    <row r="35" spans="1:13" s="65" customFormat="1" ht="30" customHeight="1" thickBot="1">
      <c r="A35" s="64"/>
      <c r="B35" s="70">
        <v>6</v>
      </c>
      <c r="C35" s="142" t="str">
        <f ca="1">IF(ISBLANK(INDIRECT(ADDRESS(B35*2+2,3))),"",INDIRECT(ADDRESS(B35*2+2,3)))</f>
        <v>Молчанова Анастасия</v>
      </c>
      <c r="D35" s="142"/>
      <c r="E35" s="143"/>
      <c r="F35" s="66">
        <v>1</v>
      </c>
      <c r="G35" s="67">
        <v>13</v>
      </c>
      <c r="H35" s="144" t="str">
        <f ca="1">IF(ISBLANK(INDIRECT(ADDRESS(K35*2+2,3))),"",INDIRECT(ADDRESS(K35*2+2,3)))</f>
        <v>Мутовина Екатерина</v>
      </c>
      <c r="I35" s="142"/>
      <c r="J35" s="142"/>
      <c r="K35" s="70">
        <v>5</v>
      </c>
      <c r="L35" s="68" t="s">
        <v>131</v>
      </c>
      <c r="M35" s="63"/>
    </row>
    <row r="36" spans="1:13" s="65" customFormat="1" ht="30" customHeight="1" thickBot="1">
      <c r="A36" s="64"/>
      <c r="B36" s="70">
        <v>1</v>
      </c>
      <c r="C36" s="142" t="str">
        <f ca="1">IF(ISBLANK(INDIRECT(ADDRESS(B36*2+2,3))),"",INDIRECT(ADDRESS(B36*2+2,3)))</f>
        <v>Семченкова Марина</v>
      </c>
      <c r="D36" s="142"/>
      <c r="E36" s="143"/>
      <c r="F36" s="66">
        <v>7</v>
      </c>
      <c r="G36" s="67">
        <v>7</v>
      </c>
      <c r="H36" s="144" t="str">
        <f ca="1">IF(ISBLANK(INDIRECT(ADDRESS(K36*2+2,3))),"",INDIRECT(ADDRESS(K36*2+2,3)))</f>
        <v>Фёдорова Юлия</v>
      </c>
      <c r="I36" s="142"/>
      <c r="J36" s="142"/>
      <c r="K36" s="70">
        <v>4</v>
      </c>
      <c r="L36" s="68" t="s">
        <v>132</v>
      </c>
      <c r="M36" s="63"/>
    </row>
    <row r="37" spans="1:13" s="65" customFormat="1" ht="30" customHeight="1" thickBot="1">
      <c r="A37" s="64"/>
      <c r="B37" s="70">
        <v>2</v>
      </c>
      <c r="C37" s="142" t="str">
        <f ca="1">IF(ISBLANK(INDIRECT(ADDRESS(B37*2+2,3))),"",INDIRECT(ADDRESS(B37*2+2,3)))</f>
        <v>Румянцева Наталья</v>
      </c>
      <c r="D37" s="142"/>
      <c r="E37" s="143"/>
      <c r="F37" s="66">
        <v>13</v>
      </c>
      <c r="G37" s="67">
        <v>7</v>
      </c>
      <c r="H37" s="144" t="str">
        <f ca="1">IF(ISBLANK(INDIRECT(ADDRESS(K37*2+2,3))),"",INDIRECT(ADDRESS(K37*2+2,3)))</f>
        <v>Захарова Екатерина</v>
      </c>
      <c r="I37" s="142"/>
      <c r="J37" s="142"/>
      <c r="K37" s="70">
        <v>3</v>
      </c>
      <c r="L37" s="68" t="s">
        <v>133</v>
      </c>
      <c r="M37" s="63"/>
    </row>
    <row r="38" spans="1:13" s="65" customFormat="1" ht="30" customHeight="1">
      <c r="A38" s="64"/>
      <c r="M38" s="71"/>
    </row>
    <row r="39" spans="1:13" s="65" customFormat="1" ht="30" customHeight="1" thickBot="1">
      <c r="A39" s="64"/>
      <c r="B39" s="106" t="s">
        <v>9</v>
      </c>
      <c r="C39" s="106"/>
      <c r="D39" s="106"/>
      <c r="E39" s="106"/>
      <c r="F39" s="106"/>
      <c r="G39" s="106"/>
      <c r="H39" s="106"/>
      <c r="I39" s="106"/>
      <c r="J39" s="106"/>
      <c r="K39" s="106"/>
      <c r="M39" s="71"/>
    </row>
    <row r="40" spans="1:13" s="65" customFormat="1" ht="30" customHeight="1" thickBot="1">
      <c r="A40" s="64"/>
      <c r="B40" s="70">
        <v>3</v>
      </c>
      <c r="C40" s="142" t="str">
        <f ca="1">IF(ISBLANK(INDIRECT(ADDRESS(B40*2+2,3))),"",INDIRECT(ADDRESS(B40*2+2,3)))</f>
        <v>Захарова Екатерина</v>
      </c>
      <c r="D40" s="142"/>
      <c r="E40" s="143"/>
      <c r="F40" s="66">
        <v>13</v>
      </c>
      <c r="G40" s="67">
        <v>2</v>
      </c>
      <c r="H40" s="144" t="str">
        <f ca="1">IF(ISBLANK(INDIRECT(ADDRESS(K40*2+2,3))),"",INDIRECT(ADDRESS(K40*2+2,3)))</f>
        <v>Молчанова Анастасия</v>
      </c>
      <c r="I40" s="142"/>
      <c r="J40" s="142"/>
      <c r="K40" s="70">
        <v>6</v>
      </c>
      <c r="L40" s="68" t="s">
        <v>134</v>
      </c>
      <c r="M40" s="63"/>
    </row>
    <row r="41" spans="1:13" s="65" customFormat="1" ht="30" customHeight="1" thickBot="1">
      <c r="A41" s="64"/>
      <c r="B41" s="70">
        <v>4</v>
      </c>
      <c r="C41" s="142" t="str">
        <f ca="1">IF(ISBLANK(INDIRECT(ADDRESS(B41*2+2,3))),"",INDIRECT(ADDRESS(B41*2+2,3)))</f>
        <v>Фёдорова Юлия</v>
      </c>
      <c r="D41" s="142"/>
      <c r="E41" s="143"/>
      <c r="F41" s="66">
        <v>13</v>
      </c>
      <c r="G41" s="67">
        <v>2</v>
      </c>
      <c r="H41" s="144" t="str">
        <f ca="1">IF(ISBLANK(INDIRECT(ADDRESS(K41*2+2,3))),"",INDIRECT(ADDRESS(K41*2+2,3)))</f>
        <v>Румянцева Наталья</v>
      </c>
      <c r="I41" s="142"/>
      <c r="J41" s="142"/>
      <c r="K41" s="70">
        <v>2</v>
      </c>
      <c r="L41" s="68" t="s">
        <v>135</v>
      </c>
      <c r="M41" s="63"/>
    </row>
    <row r="42" spans="1:13" s="65" customFormat="1" ht="30" customHeight="1" thickBot="1">
      <c r="A42" s="64"/>
      <c r="B42" s="70">
        <v>5</v>
      </c>
      <c r="C42" s="142" t="str">
        <f ca="1">IF(ISBLANK(INDIRECT(ADDRESS(B42*2+2,3))),"",INDIRECT(ADDRESS(B42*2+2,3)))</f>
        <v>Мутовина Екатерина</v>
      </c>
      <c r="D42" s="142"/>
      <c r="E42" s="143"/>
      <c r="F42" s="66">
        <v>4</v>
      </c>
      <c r="G42" s="67">
        <v>8</v>
      </c>
      <c r="H42" s="144" t="str">
        <f ca="1">IF(ISBLANK(INDIRECT(ADDRESS(K42*2+2,3))),"",INDIRECT(ADDRESS(K42*2+2,3)))</f>
        <v>Семченкова Марина</v>
      </c>
      <c r="I42" s="142"/>
      <c r="J42" s="142"/>
      <c r="K42" s="70">
        <v>1</v>
      </c>
      <c r="L42" s="68" t="s">
        <v>136</v>
      </c>
      <c r="M42" s="63"/>
    </row>
    <row r="45" spans="1:13" ht="21">
      <c r="B45" s="90" t="s">
        <v>99</v>
      </c>
      <c r="C45" s="90"/>
      <c r="D45" s="90"/>
      <c r="E45" s="29"/>
      <c r="F45" s="29"/>
      <c r="G45" s="29"/>
      <c r="H45" s="29"/>
      <c r="I45" s="29"/>
    </row>
    <row r="46" spans="1:13" ht="21">
      <c r="B46" s="90"/>
      <c r="C46" s="90"/>
      <c r="D46" s="90"/>
      <c r="E46" s="29"/>
      <c r="F46" s="29"/>
      <c r="G46" s="29"/>
      <c r="H46" s="29"/>
      <c r="I46" s="29"/>
    </row>
    <row r="47" spans="1:13" ht="21">
      <c r="B47" s="90"/>
      <c r="C47" s="90"/>
      <c r="D47" s="90"/>
      <c r="E47" s="29"/>
      <c r="F47" s="29"/>
      <c r="G47" s="29"/>
      <c r="H47" s="29"/>
      <c r="I47" s="29"/>
    </row>
    <row r="48" spans="1:13" ht="21">
      <c r="B48" s="90" t="s">
        <v>130</v>
      </c>
      <c r="C48" s="90"/>
      <c r="D48" s="90"/>
      <c r="E48" s="29"/>
      <c r="F48" s="29"/>
      <c r="G48" s="29"/>
      <c r="H48" s="29"/>
      <c r="I48" s="29"/>
    </row>
  </sheetData>
  <sheetCalcPr fullCalcOnLoad="1"/>
  <mergeCells count="61">
    <mergeCell ref="B6:B7"/>
    <mergeCell ref="C6:E7"/>
    <mergeCell ref="L6:L7"/>
    <mergeCell ref="B1:P1"/>
    <mergeCell ref="N6:N7"/>
    <mergeCell ref="C3:E3"/>
    <mergeCell ref="B4:B5"/>
    <mergeCell ref="C4:E5"/>
    <mergeCell ref="L4:L5"/>
    <mergeCell ref="N4:N5"/>
    <mergeCell ref="N10:N11"/>
    <mergeCell ref="B8:B9"/>
    <mergeCell ref="C8:E9"/>
    <mergeCell ref="L8:L9"/>
    <mergeCell ref="N8:N9"/>
    <mergeCell ref="B10:B11"/>
    <mergeCell ref="C10:E11"/>
    <mergeCell ref="L10:L11"/>
    <mergeCell ref="N12:N13"/>
    <mergeCell ref="B14:B15"/>
    <mergeCell ref="C14:E15"/>
    <mergeCell ref="L14:L15"/>
    <mergeCell ref="N14:N15"/>
    <mergeCell ref="L12:L13"/>
    <mergeCell ref="B12:B13"/>
    <mergeCell ref="C12:E13"/>
    <mergeCell ref="C21:E21"/>
    <mergeCell ref="H21:J21"/>
    <mergeCell ref="C30:E30"/>
    <mergeCell ref="H30:J30"/>
    <mergeCell ref="C26:E26"/>
    <mergeCell ref="H26:J26"/>
    <mergeCell ref="B19:K19"/>
    <mergeCell ref="C20:E20"/>
    <mergeCell ref="H20:J20"/>
    <mergeCell ref="C31:E31"/>
    <mergeCell ref="H31:J31"/>
    <mergeCell ref="B29:K29"/>
    <mergeCell ref="C22:E22"/>
    <mergeCell ref="H22:J22"/>
    <mergeCell ref="B24:K24"/>
    <mergeCell ref="C25:E25"/>
    <mergeCell ref="H25:J25"/>
    <mergeCell ref="C27:E27"/>
    <mergeCell ref="H27:J27"/>
    <mergeCell ref="C42:E42"/>
    <mergeCell ref="H42:J42"/>
    <mergeCell ref="B34:K34"/>
    <mergeCell ref="C35:E35"/>
    <mergeCell ref="H35:J35"/>
    <mergeCell ref="C36:E36"/>
    <mergeCell ref="C32:E32"/>
    <mergeCell ref="H32:J32"/>
    <mergeCell ref="C41:E41"/>
    <mergeCell ref="H41:J41"/>
    <mergeCell ref="H36:J36"/>
    <mergeCell ref="C37:E37"/>
    <mergeCell ref="H37:J37"/>
    <mergeCell ref="B39:K39"/>
    <mergeCell ref="C40:E40"/>
    <mergeCell ref="H40:J40"/>
  </mergeCells>
  <phoneticPr fontId="10" type="noConversion"/>
  <printOptions horizontalCentered="1"/>
  <pageMargins left="0.25" right="0.25" top="0.75" bottom="0.75" header="0.3" footer="0.3"/>
  <pageSetup paperSize="9"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0"/>
  <sheetViews>
    <sheetView workbookViewId="0">
      <selection activeCell="M22" sqref="M22"/>
    </sheetView>
  </sheetViews>
  <sheetFormatPr defaultRowHeight="15" customHeight="1"/>
  <cols>
    <col min="1" max="1" width="9.140625" style="30"/>
    <col min="2" max="16384" width="9.140625" style="29"/>
  </cols>
  <sheetData>
    <row r="1" spans="2:16" ht="59.25" customHeight="1">
      <c r="B1" s="147" t="s">
        <v>53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2:16" ht="15" customHeight="1">
      <c r="C2" s="37"/>
    </row>
    <row r="3" spans="2:16" ht="15" customHeight="1">
      <c r="C3" s="37"/>
    </row>
    <row r="4" spans="2:16" ht="15" customHeight="1">
      <c r="B4" s="151" t="s">
        <v>56</v>
      </c>
      <c r="C4" s="150"/>
      <c r="D4" s="28">
        <v>13</v>
      </c>
      <c r="E4" s="31"/>
    </row>
    <row r="5" spans="2:16" ht="15" customHeight="1">
      <c r="C5" s="37"/>
      <c r="E5" s="32"/>
    </row>
    <row r="6" spans="2:16" ht="15" customHeight="1">
      <c r="B6" s="36" t="s">
        <v>131</v>
      </c>
      <c r="C6" s="37"/>
      <c r="E6" s="33"/>
      <c r="F6" s="149" t="str">
        <f>IF(ISBLANK(D4),"",IF(D4&gt;D8,B4,B8))</f>
        <v>Румянцева</v>
      </c>
      <c r="G6" s="150"/>
      <c r="H6" s="28">
        <v>13</v>
      </c>
      <c r="I6" s="31"/>
    </row>
    <row r="7" spans="2:16" ht="15" customHeight="1">
      <c r="C7" s="37"/>
      <c r="E7" s="33"/>
      <c r="I7" s="32"/>
    </row>
    <row r="8" spans="2:16" ht="15" customHeight="1">
      <c r="B8" s="151" t="s">
        <v>57</v>
      </c>
      <c r="C8" s="150"/>
      <c r="D8" s="28">
        <v>12</v>
      </c>
      <c r="E8" s="34"/>
      <c r="I8" s="33"/>
    </row>
    <row r="9" spans="2:16" ht="15" customHeight="1">
      <c r="C9" s="37"/>
      <c r="I9" s="33"/>
    </row>
    <row r="10" spans="2:16" ht="15" customHeight="1">
      <c r="C10" s="37"/>
      <c r="G10" s="36" t="s">
        <v>133</v>
      </c>
      <c r="H10" s="37"/>
      <c r="I10" s="33"/>
      <c r="J10" s="153" t="str">
        <f>IF(ISBLANK(H6),"",IF(H6&gt;H14,F6,F14))</f>
        <v>Румянцева</v>
      </c>
      <c r="K10" s="154"/>
      <c r="L10" s="62"/>
      <c r="M10" s="35"/>
    </row>
    <row r="11" spans="2:16" ht="15" customHeight="1">
      <c r="C11" s="37"/>
      <c r="I11" s="33"/>
      <c r="M11" s="35"/>
    </row>
    <row r="12" spans="2:16" ht="15" customHeight="1">
      <c r="B12" s="151" t="s">
        <v>54</v>
      </c>
      <c r="C12" s="150"/>
      <c r="D12" s="28">
        <v>11</v>
      </c>
      <c r="E12" s="31"/>
      <c r="I12" s="33"/>
      <c r="M12" s="35"/>
    </row>
    <row r="13" spans="2:16" ht="15" customHeight="1">
      <c r="C13" s="37"/>
      <c r="E13" s="32"/>
      <c r="I13" s="33"/>
      <c r="M13" s="35"/>
    </row>
    <row r="14" spans="2:16" ht="15" customHeight="1">
      <c r="B14" s="36" t="s">
        <v>132</v>
      </c>
      <c r="C14" s="37"/>
      <c r="E14" s="33"/>
      <c r="F14" s="149" t="str">
        <f>IF(ISBLANK(D12),"",IF(D12&gt;D16,B12,B16))</f>
        <v>Лукина</v>
      </c>
      <c r="G14" s="150"/>
      <c r="H14" s="28">
        <v>9</v>
      </c>
      <c r="I14" s="34"/>
      <c r="M14" s="35"/>
    </row>
    <row r="15" spans="2:16" ht="15" customHeight="1">
      <c r="E15" s="33"/>
      <c r="M15" s="35"/>
    </row>
    <row r="16" spans="2:16" ht="15" customHeight="1">
      <c r="B16" s="151" t="s">
        <v>55</v>
      </c>
      <c r="C16" s="150"/>
      <c r="D16" s="28">
        <v>13</v>
      </c>
      <c r="E16" s="34"/>
      <c r="M16" s="35"/>
    </row>
    <row r="17" spans="2:13" ht="15" customHeight="1">
      <c r="M17" s="35"/>
    </row>
    <row r="20" spans="2:13" ht="15" customHeight="1">
      <c r="B20" s="151" t="str">
        <f>IF(ISBLANK(D4),"",IF(D4&gt;D8,B8,B4))</f>
        <v>Королькова</v>
      </c>
      <c r="C20" s="150"/>
      <c r="D20" s="28">
        <v>7</v>
      </c>
      <c r="E20" s="31"/>
      <c r="F20" s="152"/>
      <c r="G20" s="152"/>
    </row>
    <row r="21" spans="2:13" ht="15" customHeight="1">
      <c r="E21" s="32"/>
    </row>
    <row r="22" spans="2:13" ht="15" customHeight="1">
      <c r="C22" s="36" t="s">
        <v>134</v>
      </c>
      <c r="E22" s="33"/>
      <c r="F22" s="149" t="str">
        <f>IF(ISBLANK(D20),"",IF(D20&gt;D24,B20,B24))</f>
        <v>Федорова</v>
      </c>
      <c r="G22" s="151"/>
    </row>
    <row r="23" spans="2:13" ht="15" customHeight="1">
      <c r="E23" s="33"/>
    </row>
    <row r="24" spans="2:13" ht="15" customHeight="1">
      <c r="B24" s="151" t="str">
        <f>IF(ISBLANK(D12),"",IF(D12&gt;D16,B16,B12))</f>
        <v>Федорова</v>
      </c>
      <c r="C24" s="150"/>
      <c r="D24" s="28">
        <v>13</v>
      </c>
      <c r="E24" s="34"/>
    </row>
    <row r="27" spans="2:13" ht="15" customHeight="1">
      <c r="B27" s="90" t="s">
        <v>99</v>
      </c>
      <c r="C27" s="90"/>
      <c r="D27" s="90"/>
    </row>
    <row r="28" spans="2:13" ht="15" customHeight="1">
      <c r="B28" s="90"/>
      <c r="C28" s="90"/>
      <c r="D28" s="90"/>
    </row>
    <row r="29" spans="2:13" ht="15" customHeight="1">
      <c r="B29" s="90"/>
      <c r="C29" s="90"/>
      <c r="D29" s="90"/>
    </row>
    <row r="30" spans="2:13" ht="15" customHeight="1">
      <c r="B30" s="90" t="s">
        <v>130</v>
      </c>
      <c r="C30" s="90"/>
      <c r="D30" s="90"/>
    </row>
  </sheetData>
  <mergeCells count="12">
    <mergeCell ref="J10:K10"/>
    <mergeCell ref="B4:C4"/>
    <mergeCell ref="F6:G6"/>
    <mergeCell ref="B8:C8"/>
    <mergeCell ref="B1:P1"/>
    <mergeCell ref="B24:C24"/>
    <mergeCell ref="B20:C20"/>
    <mergeCell ref="F20:G20"/>
    <mergeCell ref="B12:C12"/>
    <mergeCell ref="F14:G14"/>
    <mergeCell ref="B16:C16"/>
    <mergeCell ref="F22:G22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0"/>
  <sheetViews>
    <sheetView workbookViewId="0">
      <selection activeCell="K20" sqref="K20"/>
    </sheetView>
  </sheetViews>
  <sheetFormatPr defaultRowHeight="15" customHeight="1"/>
  <cols>
    <col min="1" max="1" width="9.140625" style="30"/>
    <col min="2" max="16384" width="9.140625" style="29"/>
  </cols>
  <sheetData>
    <row r="1" spans="2:16" ht="59.25" customHeight="1">
      <c r="B1" s="147" t="s">
        <v>58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2:16" ht="15" customHeight="1">
      <c r="C2" s="37"/>
    </row>
    <row r="3" spans="2:16" ht="15" customHeight="1">
      <c r="C3" s="37"/>
    </row>
    <row r="4" spans="2:16" ht="15" customHeight="1">
      <c r="B4" s="151" t="s">
        <v>59</v>
      </c>
      <c r="C4" s="150"/>
      <c r="D4" s="28">
        <v>13</v>
      </c>
      <c r="E4" s="31"/>
    </row>
    <row r="5" spans="2:16" ht="15" customHeight="1">
      <c r="C5" s="37"/>
      <c r="E5" s="32"/>
    </row>
    <row r="6" spans="2:16" ht="15" customHeight="1">
      <c r="B6" s="36" t="s">
        <v>135</v>
      </c>
      <c r="C6" s="37"/>
      <c r="E6" s="33"/>
      <c r="F6" s="149" t="str">
        <f>IF(ISBLANK(D4),"",IF(D4&gt;D8,B4,B8))</f>
        <v>Минаева</v>
      </c>
      <c r="G6" s="150"/>
      <c r="H6" s="28">
        <v>13</v>
      </c>
      <c r="I6" s="31"/>
    </row>
    <row r="7" spans="2:16" ht="15" customHeight="1">
      <c r="C7" s="37"/>
      <c r="E7" s="33"/>
      <c r="I7" s="32"/>
    </row>
    <row r="8" spans="2:16" ht="15" customHeight="1">
      <c r="B8" s="151" t="s">
        <v>60</v>
      </c>
      <c r="C8" s="150"/>
      <c r="D8" s="28">
        <v>9</v>
      </c>
      <c r="E8" s="34"/>
      <c r="I8" s="33"/>
    </row>
    <row r="9" spans="2:16" ht="15" customHeight="1">
      <c r="C9" s="37"/>
      <c r="I9" s="33"/>
    </row>
    <row r="10" spans="2:16" ht="15" customHeight="1">
      <c r="C10" s="37"/>
      <c r="G10" s="36" t="s">
        <v>137</v>
      </c>
      <c r="H10" s="37"/>
      <c r="I10" s="33"/>
      <c r="J10" s="149" t="str">
        <f>IF(ISBLANK(H6),"",IF(H6&gt;H14,F6,F14))</f>
        <v>Минаева</v>
      </c>
      <c r="K10" s="151"/>
      <c r="L10" s="62"/>
      <c r="M10" s="35"/>
    </row>
    <row r="11" spans="2:16" ht="15" customHeight="1">
      <c r="C11" s="37"/>
      <c r="I11" s="33"/>
      <c r="M11" s="35"/>
    </row>
    <row r="12" spans="2:16" ht="15" customHeight="1">
      <c r="B12" s="151" t="s">
        <v>61</v>
      </c>
      <c r="C12" s="150"/>
      <c r="D12" s="28">
        <v>9</v>
      </c>
      <c r="E12" s="31"/>
      <c r="I12" s="33"/>
      <c r="M12" s="35"/>
    </row>
    <row r="13" spans="2:16" ht="15" customHeight="1">
      <c r="C13" s="37"/>
      <c r="E13" s="32"/>
      <c r="I13" s="33"/>
      <c r="M13" s="35"/>
    </row>
    <row r="14" spans="2:16" ht="15" customHeight="1">
      <c r="B14" s="36" t="s">
        <v>136</v>
      </c>
      <c r="C14" s="37"/>
      <c r="E14" s="33"/>
      <c r="F14" s="149" t="str">
        <f>IF(ISBLANK(D12),"",IF(D12&gt;D16,B12,B16))</f>
        <v>Семченкова</v>
      </c>
      <c r="G14" s="150"/>
      <c r="H14" s="28">
        <v>8</v>
      </c>
      <c r="I14" s="34"/>
      <c r="M14" s="35"/>
    </row>
    <row r="15" spans="2:16" ht="15" customHeight="1">
      <c r="E15" s="33"/>
      <c r="M15" s="35"/>
    </row>
    <row r="16" spans="2:16" ht="15" customHeight="1">
      <c r="B16" s="151" t="s">
        <v>62</v>
      </c>
      <c r="C16" s="150"/>
      <c r="D16" s="28">
        <v>13</v>
      </c>
      <c r="E16" s="34"/>
      <c r="M16" s="35"/>
    </row>
    <row r="17" spans="2:13" ht="15" customHeight="1">
      <c r="M17" s="35"/>
    </row>
    <row r="20" spans="2:13" ht="15" customHeight="1">
      <c r="B20" s="151" t="str">
        <f>IF(ISBLANK(D4),"",IF(D4&gt;D8,B8,B4))</f>
        <v>Захарова</v>
      </c>
      <c r="C20" s="150"/>
      <c r="D20" s="28">
        <v>13</v>
      </c>
      <c r="E20" s="31"/>
      <c r="F20" s="152"/>
      <c r="G20" s="152"/>
    </row>
    <row r="21" spans="2:13" ht="15" customHeight="1">
      <c r="E21" s="32"/>
    </row>
    <row r="22" spans="2:13" ht="15" customHeight="1">
      <c r="C22" s="36" t="s">
        <v>138</v>
      </c>
      <c r="E22" s="33"/>
      <c r="F22" s="149" t="str">
        <f>IF(ISBLANK(D20),"",IF(D20&gt;D24,B20,B24))</f>
        <v>Захарова</v>
      </c>
      <c r="G22" s="151"/>
    </row>
    <row r="23" spans="2:13" ht="15" customHeight="1">
      <c r="E23" s="33"/>
    </row>
    <row r="24" spans="2:13" ht="15" customHeight="1">
      <c r="B24" s="151" t="str">
        <f>IF(ISBLANK(D12),"",IF(D12&gt;D16,B16,B12))</f>
        <v>Турбаевская</v>
      </c>
      <c r="C24" s="150"/>
      <c r="D24" s="28">
        <v>7</v>
      </c>
      <c r="E24" s="34"/>
    </row>
    <row r="27" spans="2:13" ht="15" customHeight="1">
      <c r="B27" s="90" t="s">
        <v>99</v>
      </c>
      <c r="C27" s="90"/>
      <c r="D27" s="90"/>
    </row>
    <row r="28" spans="2:13" ht="15" customHeight="1">
      <c r="B28" s="90"/>
      <c r="C28" s="90"/>
      <c r="D28" s="90"/>
    </row>
    <row r="29" spans="2:13" ht="15" customHeight="1">
      <c r="B29" s="90"/>
      <c r="C29" s="90"/>
      <c r="D29" s="90"/>
    </row>
    <row r="30" spans="2:13" ht="15" customHeight="1">
      <c r="B30" s="90" t="s">
        <v>130</v>
      </c>
      <c r="C30" s="90"/>
      <c r="D30" s="90"/>
    </row>
  </sheetData>
  <mergeCells count="12">
    <mergeCell ref="F6:G6"/>
    <mergeCell ref="B8:C8"/>
    <mergeCell ref="B1:P1"/>
    <mergeCell ref="J10:K10"/>
    <mergeCell ref="F22:G22"/>
    <mergeCell ref="B24:C24"/>
    <mergeCell ref="B20:C20"/>
    <mergeCell ref="F20:G20"/>
    <mergeCell ref="B16:C16"/>
    <mergeCell ref="B12:C12"/>
    <mergeCell ref="F14:G14"/>
    <mergeCell ref="B4:C4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0"/>
  <sheetViews>
    <sheetView tabSelected="1" workbookViewId="0">
      <selection activeCell="M22" sqref="M22"/>
    </sheetView>
  </sheetViews>
  <sheetFormatPr defaultRowHeight="15" customHeight="1"/>
  <cols>
    <col min="1" max="1" width="9.140625" style="30"/>
    <col min="2" max="16384" width="9.140625" style="29"/>
  </cols>
  <sheetData>
    <row r="1" spans="2:16" ht="59.25" customHeight="1">
      <c r="B1" s="147" t="s">
        <v>63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2:16" ht="15" customHeight="1">
      <c r="C2" s="37"/>
    </row>
    <row r="3" spans="2:16" ht="15" customHeight="1">
      <c r="C3" s="37"/>
    </row>
    <row r="4" spans="2:16" ht="15" customHeight="1">
      <c r="B4" s="151" t="s">
        <v>64</v>
      </c>
      <c r="C4" s="150"/>
      <c r="D4" s="28">
        <v>13</v>
      </c>
      <c r="E4" s="31"/>
    </row>
    <row r="5" spans="2:16" ht="15" customHeight="1">
      <c r="C5" s="37"/>
      <c r="E5" s="32"/>
    </row>
    <row r="6" spans="2:16" ht="15" customHeight="1">
      <c r="B6" s="36" t="s">
        <v>137</v>
      </c>
      <c r="C6" s="37"/>
      <c r="E6" s="33"/>
      <c r="F6" s="149" t="str">
        <f>IF(ISBLANK(D4),"",IF(D4&gt;D8,B4,B8))</f>
        <v>Тихомирова</v>
      </c>
      <c r="G6" s="150"/>
      <c r="H6" s="28">
        <v>13</v>
      </c>
      <c r="I6" s="31"/>
    </row>
    <row r="7" spans="2:16" ht="15" customHeight="1">
      <c r="C7" s="37"/>
      <c r="E7" s="33"/>
      <c r="I7" s="32"/>
    </row>
    <row r="8" spans="2:16" ht="15" customHeight="1">
      <c r="B8" s="151" t="s">
        <v>65</v>
      </c>
      <c r="C8" s="150"/>
      <c r="D8" s="28">
        <v>8</v>
      </c>
      <c r="E8" s="34"/>
      <c r="I8" s="33"/>
    </row>
    <row r="9" spans="2:16" ht="15" customHeight="1">
      <c r="C9" s="37"/>
      <c r="I9" s="33"/>
    </row>
    <row r="10" spans="2:16" ht="15" customHeight="1">
      <c r="C10" s="37"/>
      <c r="G10" s="36" t="s">
        <v>131</v>
      </c>
      <c r="H10" s="37"/>
      <c r="I10" s="33"/>
      <c r="J10" s="149" t="str">
        <f>IF(ISBLANK(H6),"",IF(H6&gt;H14,F6,F14))</f>
        <v>Тихомирова</v>
      </c>
      <c r="K10" s="151"/>
      <c r="L10" s="62"/>
      <c r="M10" s="35"/>
    </row>
    <row r="11" spans="2:16" ht="15" customHeight="1">
      <c r="C11" s="37"/>
      <c r="I11" s="33"/>
      <c r="M11" s="35"/>
    </row>
    <row r="12" spans="2:16" ht="15" customHeight="1">
      <c r="B12" s="151" t="s">
        <v>15</v>
      </c>
      <c r="C12" s="150"/>
      <c r="D12" s="28">
        <v>7</v>
      </c>
      <c r="E12" s="31"/>
      <c r="I12" s="33"/>
      <c r="M12" s="35"/>
    </row>
    <row r="13" spans="2:16" ht="15" customHeight="1">
      <c r="C13" s="37"/>
      <c r="E13" s="32"/>
      <c r="I13" s="33"/>
      <c r="M13" s="35"/>
    </row>
    <row r="14" spans="2:16" ht="15" customHeight="1">
      <c r="B14" s="36" t="s">
        <v>138</v>
      </c>
      <c r="C14" s="37"/>
      <c r="E14" s="33"/>
      <c r="F14" s="149" t="str">
        <f>IF(ISBLANK(D12),"",IF(D12&gt;D16,B12,B16))</f>
        <v>Мутовина</v>
      </c>
      <c r="G14" s="150"/>
      <c r="H14" s="28">
        <v>5</v>
      </c>
      <c r="I14" s="34"/>
      <c r="M14" s="35"/>
    </row>
    <row r="15" spans="2:16" ht="15" customHeight="1">
      <c r="E15" s="33"/>
      <c r="M15" s="35"/>
    </row>
    <row r="16" spans="2:16" ht="15" customHeight="1">
      <c r="B16" s="151" t="s">
        <v>18</v>
      </c>
      <c r="C16" s="150"/>
      <c r="D16" s="28">
        <v>13</v>
      </c>
      <c r="E16" s="34"/>
      <c r="M16" s="35"/>
    </row>
    <row r="17" spans="2:13" ht="15" customHeight="1">
      <c r="M17" s="35"/>
    </row>
    <row r="20" spans="2:13" ht="15" customHeight="1">
      <c r="B20" s="151" t="str">
        <f>IF(ISBLANK(D4),"",IF(D4&gt;D8,B8,B4))</f>
        <v>Молчанова</v>
      </c>
      <c r="C20" s="150"/>
      <c r="D20" s="28">
        <v>7</v>
      </c>
      <c r="E20" s="31"/>
      <c r="F20" s="152"/>
      <c r="G20" s="152"/>
    </row>
    <row r="21" spans="2:13" ht="15" customHeight="1">
      <c r="E21" s="32"/>
    </row>
    <row r="22" spans="2:13" ht="15" customHeight="1">
      <c r="C22" s="36" t="s">
        <v>132</v>
      </c>
      <c r="E22" s="33"/>
      <c r="F22" s="149" t="str">
        <f>IF(ISBLANK(D20),"",IF(D20&gt;D24,B20,B24))</f>
        <v>Пасечникова</v>
      </c>
      <c r="G22" s="151"/>
    </row>
    <row r="23" spans="2:13" ht="15" customHeight="1">
      <c r="E23" s="33"/>
    </row>
    <row r="24" spans="2:13" ht="15" customHeight="1">
      <c r="B24" s="151" t="str">
        <f>IF(ISBLANK(D12),"",IF(D12&gt;D16,B16,B12))</f>
        <v>Пасечникова</v>
      </c>
      <c r="C24" s="150"/>
      <c r="D24" s="28">
        <v>13</v>
      </c>
      <c r="E24" s="34"/>
    </row>
    <row r="27" spans="2:13" ht="15" customHeight="1">
      <c r="B27" s="90" t="s">
        <v>99</v>
      </c>
      <c r="C27" s="90"/>
      <c r="D27" s="90"/>
    </row>
    <row r="28" spans="2:13" ht="15" customHeight="1">
      <c r="B28" s="90"/>
      <c r="C28" s="90"/>
      <c r="D28" s="90"/>
    </row>
    <row r="29" spans="2:13" ht="15" customHeight="1">
      <c r="B29" s="90"/>
      <c r="C29" s="90"/>
      <c r="D29" s="90"/>
    </row>
    <row r="30" spans="2:13" ht="15" customHeight="1">
      <c r="B30" s="90" t="s">
        <v>130</v>
      </c>
      <c r="C30" s="90"/>
      <c r="D30" s="90"/>
    </row>
  </sheetData>
  <mergeCells count="12">
    <mergeCell ref="J10:K10"/>
    <mergeCell ref="B4:C4"/>
    <mergeCell ref="F6:G6"/>
    <mergeCell ref="B8:C8"/>
    <mergeCell ref="B1:P1"/>
    <mergeCell ref="B24:C24"/>
    <mergeCell ref="B20:C20"/>
    <mergeCell ref="F20:G20"/>
    <mergeCell ref="B12:C12"/>
    <mergeCell ref="F14:G14"/>
    <mergeCell ref="B16:C16"/>
    <mergeCell ref="F22:G22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K22"/>
  <sheetViews>
    <sheetView zoomScaleNormal="100" workbookViewId="0">
      <selection activeCell="A19" sqref="A19"/>
    </sheetView>
  </sheetViews>
  <sheetFormatPr defaultRowHeight="15"/>
  <cols>
    <col min="2" max="2" width="23.42578125" customWidth="1"/>
    <col min="3" max="3" width="22.42578125" customWidth="1"/>
    <col min="4" max="4" width="36.7109375" customWidth="1"/>
  </cols>
  <sheetData>
    <row r="1" spans="1:11" ht="54" customHeight="1">
      <c r="A1" s="140" t="s">
        <v>90</v>
      </c>
      <c r="B1" s="140"/>
      <c r="C1" s="140"/>
      <c r="D1" s="140"/>
      <c r="E1" s="73"/>
      <c r="F1" s="73"/>
      <c r="G1" s="73"/>
      <c r="H1" s="73"/>
      <c r="I1" s="73"/>
      <c r="J1" s="73"/>
      <c r="K1" s="73"/>
    </row>
    <row r="2" spans="1:11" ht="102.75" customHeight="1">
      <c r="A2" s="141" t="s">
        <v>105</v>
      </c>
      <c r="B2" s="141"/>
      <c r="C2" s="141"/>
      <c r="D2" s="141"/>
      <c r="E2" s="74"/>
      <c r="F2" s="74"/>
      <c r="G2" s="75"/>
      <c r="H2" s="75"/>
      <c r="I2" s="75"/>
      <c r="J2" s="75"/>
    </row>
    <row r="3" spans="1:11" ht="15.75" thickBot="1"/>
    <row r="4" spans="1:11">
      <c r="A4" s="76" t="s">
        <v>91</v>
      </c>
      <c r="B4" s="77" t="s">
        <v>92</v>
      </c>
      <c r="C4" s="78" t="s">
        <v>93</v>
      </c>
      <c r="D4" s="79" t="s">
        <v>94</v>
      </c>
    </row>
    <row r="5" spans="1:11">
      <c r="A5" s="80">
        <v>1</v>
      </c>
      <c r="B5" s="81" t="s">
        <v>48</v>
      </c>
      <c r="C5" s="82" t="s">
        <v>106</v>
      </c>
      <c r="D5" s="83">
        <v>15</v>
      </c>
      <c r="F5" s="84"/>
      <c r="G5" s="84"/>
      <c r="H5" s="84"/>
      <c r="I5" s="84"/>
      <c r="J5" s="84"/>
      <c r="K5" s="84"/>
    </row>
    <row r="6" spans="1:11">
      <c r="A6" s="80">
        <v>2</v>
      </c>
      <c r="B6" s="93" t="s">
        <v>41</v>
      </c>
      <c r="C6" s="82" t="s">
        <v>96</v>
      </c>
      <c r="D6" s="83">
        <v>13</v>
      </c>
      <c r="F6" s="85"/>
      <c r="G6" s="84"/>
      <c r="H6" s="84"/>
      <c r="I6" s="84"/>
      <c r="J6" s="84"/>
      <c r="K6" s="84"/>
    </row>
    <row r="7" spans="1:11">
      <c r="A7" s="80">
        <v>3</v>
      </c>
      <c r="B7" s="81" t="s">
        <v>107</v>
      </c>
      <c r="C7" s="82" t="s">
        <v>96</v>
      </c>
      <c r="D7" s="83">
        <v>11</v>
      </c>
      <c r="F7" s="84"/>
      <c r="G7" s="84"/>
      <c r="H7" s="84"/>
      <c r="I7" s="84"/>
      <c r="J7" s="84"/>
      <c r="K7" s="84"/>
    </row>
    <row r="8" spans="1:11">
      <c r="A8" s="80">
        <v>4</v>
      </c>
      <c r="B8" s="81" t="s">
        <v>42</v>
      </c>
      <c r="C8" s="82" t="s">
        <v>106</v>
      </c>
      <c r="D8" s="83">
        <v>10</v>
      </c>
      <c r="F8" s="84"/>
      <c r="G8" s="84"/>
      <c r="H8" s="84"/>
      <c r="I8" s="84"/>
      <c r="J8" s="84"/>
      <c r="K8" s="84"/>
    </row>
    <row r="9" spans="1:11">
      <c r="A9" s="80">
        <v>5</v>
      </c>
      <c r="B9" s="81" t="s">
        <v>44</v>
      </c>
      <c r="C9" s="82" t="s">
        <v>98</v>
      </c>
      <c r="D9" s="83">
        <v>9</v>
      </c>
      <c r="F9" s="84"/>
      <c r="G9" s="84"/>
      <c r="H9" s="84"/>
      <c r="I9" s="84"/>
      <c r="J9" s="84"/>
      <c r="K9" s="84"/>
    </row>
    <row r="10" spans="1:11">
      <c r="A10" s="80">
        <v>6</v>
      </c>
      <c r="B10" s="81" t="s">
        <v>47</v>
      </c>
      <c r="C10" s="82" t="s">
        <v>98</v>
      </c>
      <c r="D10" s="83">
        <v>8</v>
      </c>
      <c r="F10" s="84"/>
      <c r="G10" s="84"/>
      <c r="H10" s="84"/>
      <c r="I10" s="84"/>
      <c r="J10" s="84"/>
      <c r="K10" s="84"/>
    </row>
    <row r="11" spans="1:11">
      <c r="A11" s="94" t="s">
        <v>102</v>
      </c>
      <c r="B11" s="81" t="s">
        <v>49</v>
      </c>
      <c r="C11" s="82" t="s">
        <v>106</v>
      </c>
      <c r="D11" s="83">
        <v>7</v>
      </c>
      <c r="F11" s="84"/>
      <c r="G11" s="84"/>
      <c r="H11" s="84"/>
      <c r="I11" s="84"/>
      <c r="J11" s="84"/>
      <c r="K11" s="84"/>
    </row>
    <row r="12" spans="1:11">
      <c r="A12" s="94" t="s">
        <v>103</v>
      </c>
      <c r="B12" s="81" t="s">
        <v>43</v>
      </c>
      <c r="C12" s="82" t="s">
        <v>98</v>
      </c>
      <c r="D12" s="83">
        <v>6</v>
      </c>
      <c r="F12" s="84"/>
      <c r="G12" s="84"/>
      <c r="H12" s="84"/>
      <c r="I12" s="84"/>
      <c r="J12" s="84"/>
      <c r="K12" s="84"/>
    </row>
    <row r="13" spans="1:11">
      <c r="A13" s="80">
        <v>9</v>
      </c>
      <c r="B13" s="81" t="s">
        <v>45</v>
      </c>
      <c r="C13" s="82" t="s">
        <v>98</v>
      </c>
      <c r="D13" s="83">
        <v>5</v>
      </c>
      <c r="F13" s="84"/>
      <c r="G13" s="84"/>
      <c r="H13" s="84"/>
      <c r="I13" s="84"/>
      <c r="J13" s="84"/>
      <c r="K13" s="84"/>
    </row>
    <row r="14" spans="1:11">
      <c r="A14" s="80">
        <v>10</v>
      </c>
      <c r="B14" s="81" t="s">
        <v>108</v>
      </c>
      <c r="C14" s="82" t="s">
        <v>96</v>
      </c>
      <c r="D14" s="83">
        <v>4</v>
      </c>
      <c r="F14" s="84"/>
      <c r="G14" s="84"/>
      <c r="H14" s="84"/>
      <c r="I14" s="84"/>
      <c r="J14" s="84"/>
      <c r="K14" s="84"/>
    </row>
    <row r="15" spans="1:11">
      <c r="A15" s="80">
        <v>11</v>
      </c>
      <c r="B15" s="81" t="s">
        <v>46</v>
      </c>
      <c r="C15" s="82" t="s">
        <v>96</v>
      </c>
      <c r="D15" s="83">
        <v>3</v>
      </c>
      <c r="F15" s="84"/>
      <c r="G15" s="84"/>
      <c r="H15" s="84"/>
      <c r="I15" s="84"/>
      <c r="J15" s="84"/>
      <c r="K15" s="84"/>
    </row>
    <row r="16" spans="1:11" ht="15.75" thickBot="1">
      <c r="A16" s="86">
        <v>12</v>
      </c>
      <c r="B16" s="87" t="s">
        <v>52</v>
      </c>
      <c r="C16" s="96" t="s">
        <v>98</v>
      </c>
      <c r="D16" s="97">
        <v>2</v>
      </c>
      <c r="F16" s="84"/>
      <c r="G16" s="84"/>
      <c r="H16" s="84"/>
      <c r="I16" s="84"/>
      <c r="J16" s="84"/>
      <c r="K16" s="84"/>
    </row>
    <row r="18" spans="1:8" ht="21">
      <c r="A18" s="90"/>
      <c r="B18" s="90"/>
      <c r="C18" s="90"/>
      <c r="D18" s="90"/>
      <c r="E18" s="90"/>
      <c r="F18" s="90"/>
      <c r="G18" s="65"/>
    </row>
    <row r="19" spans="1:8" ht="17.25" customHeight="1">
      <c r="A19" s="90" t="s">
        <v>99</v>
      </c>
      <c r="B19" s="90"/>
      <c r="C19" s="90"/>
      <c r="D19" s="29"/>
      <c r="E19" s="29"/>
      <c r="F19" s="29"/>
      <c r="G19" s="29"/>
      <c r="H19" s="29"/>
    </row>
    <row r="20" spans="1:8" ht="15" customHeight="1">
      <c r="A20" s="90"/>
      <c r="B20" s="90"/>
      <c r="C20" s="90"/>
      <c r="D20" s="29"/>
      <c r="E20" s="29"/>
      <c r="F20" s="29"/>
      <c r="G20" s="29"/>
      <c r="H20" s="29"/>
    </row>
    <row r="21" spans="1:8" ht="21">
      <c r="A21" s="90"/>
      <c r="B21" s="90"/>
      <c r="C21" s="90"/>
      <c r="D21" s="29"/>
      <c r="E21" s="29"/>
      <c r="F21" s="29"/>
      <c r="G21" s="29"/>
      <c r="H21" s="29"/>
    </row>
    <row r="22" spans="1:8" ht="21">
      <c r="A22" s="90" t="s">
        <v>130</v>
      </c>
      <c r="B22" s="90"/>
      <c r="C22" s="90"/>
      <c r="D22" s="29"/>
      <c r="E22" s="29"/>
      <c r="F22" s="29"/>
      <c r="G22" s="29"/>
      <c r="H22" s="29"/>
    </row>
  </sheetData>
  <mergeCells count="2">
    <mergeCell ref="A1:D1"/>
    <mergeCell ref="A2:D2"/>
  </mergeCells>
  <phoneticPr fontId="0" type="noConversion"/>
  <pageMargins left="0.75" right="0.49" top="0.7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1"/>
  <sheetViews>
    <sheetView topLeftCell="A7" workbookViewId="0">
      <selection activeCell="J32" sqref="J32"/>
    </sheetView>
  </sheetViews>
  <sheetFormatPr defaultRowHeight="15"/>
  <cols>
    <col min="1" max="1" width="4" style="30" customWidth="1"/>
    <col min="2" max="4" width="10.28515625" customWidth="1"/>
    <col min="5" max="5" width="14.140625" customWidth="1"/>
    <col min="6" max="9" width="10.28515625" customWidth="1"/>
    <col min="10" max="10" width="13.85546875" customWidth="1"/>
    <col min="11" max="12" width="10.28515625" customWidth="1"/>
    <col min="13" max="13" width="10.28515625" style="38" customWidth="1"/>
    <col min="14" max="15" width="10.28515625" customWidth="1"/>
  </cols>
  <sheetData>
    <row r="1" spans="1:16" ht="40.5" customHeight="1">
      <c r="B1" s="147" t="s">
        <v>66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72"/>
      <c r="N1" s="72"/>
      <c r="O1" s="72"/>
      <c r="P1" s="72"/>
    </row>
    <row r="2" spans="1:16" ht="15.75" thickBot="1"/>
    <row r="3" spans="1:16" ht="30" customHeight="1" thickBot="1">
      <c r="B3" s="25"/>
      <c r="C3" s="132" t="s">
        <v>0</v>
      </c>
      <c r="D3" s="133"/>
      <c r="E3" s="134"/>
      <c r="F3" s="1">
        <v>1</v>
      </c>
      <c r="G3" s="1">
        <v>2</v>
      </c>
      <c r="H3" s="2">
        <v>3</v>
      </c>
      <c r="I3" s="2">
        <v>4</v>
      </c>
      <c r="J3" s="25" t="s">
        <v>1</v>
      </c>
      <c r="K3" s="1" t="s">
        <v>3</v>
      </c>
      <c r="L3" s="22" t="s">
        <v>2</v>
      </c>
    </row>
    <row r="4" spans="1:16" ht="24" customHeight="1">
      <c r="B4" s="135">
        <v>1</v>
      </c>
      <c r="C4" s="136" t="s">
        <v>72</v>
      </c>
      <c r="D4" s="137"/>
      <c r="E4" s="138"/>
      <c r="F4" s="10" t="s">
        <v>7</v>
      </c>
      <c r="G4" s="6" t="str">
        <f ca="1">INDIRECT(ADDRESS(21,6))&amp;":"&amp;INDIRECT(ADDRESS(21,7))</f>
        <v>13:2</v>
      </c>
      <c r="H4" s="6" t="str">
        <f ca="1">INDIRECT(ADDRESS(25,7))&amp;":"&amp;INDIRECT(ADDRESS(25,6))</f>
        <v>7:8</v>
      </c>
      <c r="I4" s="21" t="str">
        <f ca="1">INDIRECT(ADDRESS(16,6))&amp;":"&amp;INDIRECT(ADDRESS(16,7))</f>
        <v>10:3</v>
      </c>
      <c r="J4" s="163">
        <f ca="1">IF(COUNT(F5:I5)=0,"",COUNTIF(F5:I5,"&gt;0")+0.5*COUNTIF(F5:I5,0))</f>
        <v>2</v>
      </c>
      <c r="K4" s="24"/>
      <c r="L4" s="164">
        <v>1</v>
      </c>
    </row>
    <row r="5" spans="1:16" ht="24" customHeight="1">
      <c r="B5" s="129"/>
      <c r="C5" s="113"/>
      <c r="D5" s="114"/>
      <c r="E5" s="115"/>
      <c r="F5" s="14" t="s">
        <v>7</v>
      </c>
      <c r="G5" s="17">
        <f ca="1">IF(LEN(INDIRECT(ADDRESS(ROW()-1, COLUMN())))=1,"",INDIRECT(ADDRESS(21,6))-INDIRECT(ADDRESS(21,7)))</f>
        <v>11</v>
      </c>
      <c r="H5" s="17">
        <f ca="1">IF(LEN(INDIRECT(ADDRESS(ROW()-1, COLUMN())))=1,"",INDIRECT(ADDRESS(25,7))-INDIRECT(ADDRESS(25,6)))</f>
        <v>-1</v>
      </c>
      <c r="I5" s="18">
        <f ca="1">IF(LEN(INDIRECT(ADDRESS(ROW()-1, COLUMN())))=1,"",INDIRECT(ADDRESS(16,6))-INDIRECT(ADDRESS(16,7)))</f>
        <v>7</v>
      </c>
      <c r="J5" s="107"/>
      <c r="K5" s="17">
        <f ca="1">IF(COUNT(F5:I5)=0,"",SUM(F5:I5))</f>
        <v>17</v>
      </c>
      <c r="L5" s="155"/>
    </row>
    <row r="6" spans="1:16" ht="24" customHeight="1">
      <c r="B6" s="111">
        <v>2</v>
      </c>
      <c r="C6" s="113" t="s">
        <v>70</v>
      </c>
      <c r="D6" s="114"/>
      <c r="E6" s="115"/>
      <c r="F6" s="12" t="str">
        <f ca="1">INDIRECT(ADDRESS(21,7))&amp;":"&amp;INDIRECT(ADDRESS(21,6))</f>
        <v>2:13</v>
      </c>
      <c r="G6" s="8" t="s">
        <v>7</v>
      </c>
      <c r="H6" s="7" t="str">
        <f ca="1">INDIRECT(ADDRESS(17,6))&amp;":"&amp;INDIRECT(ADDRESS(17,7))</f>
        <v>7:4</v>
      </c>
      <c r="I6" s="11" t="str">
        <f ca="1">INDIRECT(ADDRESS(24,6))&amp;":"&amp;INDIRECT(ADDRESS(24,7))</f>
        <v>7:8</v>
      </c>
      <c r="J6" s="107">
        <f ca="1">IF(COUNT(F7:I7)=0,"",COUNTIF(F7:I7,"&gt;0")+0.5*COUNTIF(F7:I7,0))</f>
        <v>1</v>
      </c>
      <c r="K6" s="17"/>
      <c r="L6" s="155">
        <v>3</v>
      </c>
    </row>
    <row r="7" spans="1:16" ht="24" customHeight="1">
      <c r="B7" s="129"/>
      <c r="C7" s="113"/>
      <c r="D7" s="114"/>
      <c r="E7" s="115"/>
      <c r="F7" s="23">
        <f ca="1">IF(LEN(INDIRECT(ADDRESS(ROW()-1, COLUMN())))=1,"",INDIRECT(ADDRESS(21,7))-INDIRECT(ADDRESS(21,6)))</f>
        <v>-11</v>
      </c>
      <c r="G7" s="15" t="s">
        <v>7</v>
      </c>
      <c r="H7" s="17">
        <f ca="1">IF(LEN(INDIRECT(ADDRESS(ROW()-1, COLUMN())))=1,"",INDIRECT(ADDRESS(17,6))-INDIRECT(ADDRESS(17,7)))</f>
        <v>3</v>
      </c>
      <c r="I7" s="18">
        <f ca="1">IF(LEN(INDIRECT(ADDRESS(ROW()-1, COLUMN())))=1,"",INDIRECT(ADDRESS(24,6))-INDIRECT(ADDRESS(24,7)))</f>
        <v>-1</v>
      </c>
      <c r="J7" s="107"/>
      <c r="K7" s="17">
        <f ca="1">IF(COUNT(F7:I7)=0,"",SUM(F7:I7))</f>
        <v>-9</v>
      </c>
      <c r="L7" s="155"/>
    </row>
    <row r="8" spans="1:16" ht="24" customHeight="1">
      <c r="B8" s="111">
        <v>3</v>
      </c>
      <c r="C8" s="113" t="s">
        <v>129</v>
      </c>
      <c r="D8" s="114"/>
      <c r="E8" s="115"/>
      <c r="F8" s="12" t="str">
        <f ca="1">INDIRECT(ADDRESS(25,6))&amp;":"&amp;INDIRECT(ADDRESS(25,7))</f>
        <v>8:7</v>
      </c>
      <c r="G8" s="7" t="str">
        <f ca="1">INDIRECT(ADDRESS(17,7))&amp;":"&amp;INDIRECT(ADDRESS(17,6))</f>
        <v>4:7</v>
      </c>
      <c r="H8" s="8" t="s">
        <v>7</v>
      </c>
      <c r="I8" s="11" t="str">
        <f ca="1">INDIRECT(ADDRESS(20,7))&amp;":"&amp;INDIRECT(ADDRESS(20,6))</f>
        <v>8:10</v>
      </c>
      <c r="J8" s="107">
        <f ca="1">IF(COUNT(F9:I9)=0,"",COUNTIF(F9:I9,"&gt;0")+0.5*COUNTIF(F9:I9,0))</f>
        <v>1</v>
      </c>
      <c r="K8" s="17"/>
      <c r="L8" s="155">
        <v>4</v>
      </c>
    </row>
    <row r="9" spans="1:16" ht="24" customHeight="1">
      <c r="B9" s="129"/>
      <c r="C9" s="113"/>
      <c r="D9" s="114"/>
      <c r="E9" s="115"/>
      <c r="F9" s="23">
        <f ca="1">IF(LEN(INDIRECT(ADDRESS(ROW()-1, COLUMN())))=1,"",INDIRECT(ADDRESS(25,6))-INDIRECT(ADDRESS(25,7)))</f>
        <v>1</v>
      </c>
      <c r="G9" s="17">
        <f ca="1">IF(LEN(INDIRECT(ADDRESS(ROW()-1, COLUMN())))=1,"",INDIRECT(ADDRESS(17,7))-INDIRECT(ADDRESS(17,6)))</f>
        <v>-3</v>
      </c>
      <c r="H9" s="15" t="s">
        <v>7</v>
      </c>
      <c r="I9" s="18">
        <f ca="1">IF(LEN(INDIRECT(ADDRESS(ROW()-1, COLUMN())))=1,"",INDIRECT(ADDRESS(20,7))-INDIRECT(ADDRESS(20,6)))</f>
        <v>-2</v>
      </c>
      <c r="J9" s="107"/>
      <c r="K9" s="17">
        <f ca="1">IF(COUNT(F9:I9)=0,"",SUM(F9:I9))</f>
        <v>-4</v>
      </c>
      <c r="L9" s="155"/>
    </row>
    <row r="10" spans="1:16" ht="24" customHeight="1">
      <c r="B10" s="111">
        <v>4</v>
      </c>
      <c r="C10" s="156" t="s">
        <v>71</v>
      </c>
      <c r="D10" s="157"/>
      <c r="E10" s="158"/>
      <c r="F10" s="12" t="str">
        <f ca="1">INDIRECT(ADDRESS(16,7))&amp;":"&amp;INDIRECT(ADDRESS(16,6))</f>
        <v>3:10</v>
      </c>
      <c r="G10" s="7" t="str">
        <f ca="1">INDIRECT(ADDRESS(24,7))&amp;":"&amp;INDIRECT(ADDRESS(24,6))</f>
        <v>8:7</v>
      </c>
      <c r="H10" s="7" t="str">
        <f ca="1">INDIRECT(ADDRESS(20,6))&amp;":"&amp;INDIRECT(ADDRESS(20,7))</f>
        <v>10:8</v>
      </c>
      <c r="I10" s="13" t="s">
        <v>7</v>
      </c>
      <c r="J10" s="107">
        <f ca="1">IF(COUNT(F11:I11)=0,"",COUNTIF(F11:I11,"&gt;0")+0.5*COUNTIF(F11:I11,0))</f>
        <v>2</v>
      </c>
      <c r="K10" s="17"/>
      <c r="L10" s="155">
        <v>2</v>
      </c>
    </row>
    <row r="11" spans="1:16" ht="24" customHeight="1" thickBot="1">
      <c r="B11" s="112"/>
      <c r="C11" s="159"/>
      <c r="D11" s="160"/>
      <c r="E11" s="161"/>
      <c r="F11" s="20">
        <f ca="1">IF(LEN(INDIRECT(ADDRESS(ROW()-1, COLUMN())))=1,"",INDIRECT(ADDRESS(16,7))-INDIRECT(ADDRESS(16,6)))</f>
        <v>-7</v>
      </c>
      <c r="G11" s="19">
        <f ca="1">IF(LEN(INDIRECT(ADDRESS(ROW()-1, COLUMN())))=1,"",INDIRECT(ADDRESS(24,7))-INDIRECT(ADDRESS(24,6)))</f>
        <v>1</v>
      </c>
      <c r="H11" s="19">
        <f ca="1">IF(LEN(INDIRECT(ADDRESS(ROW()-1, COLUMN())))=1,"",INDIRECT(ADDRESS(20,6))-INDIRECT(ADDRESS(20,7)))</f>
        <v>2</v>
      </c>
      <c r="I11" s="16" t="s">
        <v>7</v>
      </c>
      <c r="J11" s="108"/>
      <c r="K11" s="19">
        <f ca="1">IF(COUNT(F11:I11)=0,"",SUM(F11:I11))</f>
        <v>-4</v>
      </c>
      <c r="L11" s="162"/>
    </row>
    <row r="15" spans="1:16" s="65" customFormat="1" ht="30" customHeight="1" thickBot="1">
      <c r="A15" s="64"/>
      <c r="B15" s="106" t="s">
        <v>4</v>
      </c>
      <c r="C15" s="106"/>
      <c r="D15" s="106"/>
      <c r="E15" s="106"/>
      <c r="F15" s="106"/>
      <c r="G15" s="106"/>
      <c r="H15" s="106"/>
      <c r="I15" s="106"/>
      <c r="J15" s="106"/>
      <c r="K15" s="106"/>
      <c r="M15" s="69"/>
    </row>
    <row r="16" spans="1:16" s="65" customFormat="1" ht="30" customHeight="1" thickBot="1">
      <c r="A16" s="64"/>
      <c r="B16" s="70">
        <v>1</v>
      </c>
      <c r="C16" s="142" t="str">
        <f ca="1">IF(ISBLANK(INDIRECT(ADDRESS(B16*2+2,3))),"",INDIRECT(ADDRESS(B16*2+2,3)))</f>
        <v>Лукин, Лукина Л.</v>
      </c>
      <c r="D16" s="142"/>
      <c r="E16" s="143"/>
      <c r="F16" s="66">
        <v>10</v>
      </c>
      <c r="G16" s="67">
        <v>3</v>
      </c>
      <c r="H16" s="144" t="str">
        <f ca="1">IF(ISBLANK(INDIRECT(ADDRESS(K16*2+2,3))),"",INDIRECT(ADDRESS(K16*2+2,3)))</f>
        <v>Харьковский, Лукина И.</v>
      </c>
      <c r="I16" s="142"/>
      <c r="J16" s="142"/>
      <c r="K16" s="70">
        <v>4</v>
      </c>
      <c r="L16" s="68" t="s">
        <v>131</v>
      </c>
      <c r="M16" s="71"/>
    </row>
    <row r="17" spans="1:13" s="65" customFormat="1" ht="30" customHeight="1" thickBot="1">
      <c r="A17" s="64"/>
      <c r="B17" s="70">
        <v>2</v>
      </c>
      <c r="C17" s="142" t="str">
        <f ca="1">IF(ISBLANK(INDIRECT(ADDRESS(B17*2+2,3))),"",INDIRECT(ADDRESS(B17*2+2,3)))</f>
        <v>Попов М., Попова В.</v>
      </c>
      <c r="D17" s="142"/>
      <c r="E17" s="143"/>
      <c r="F17" s="66">
        <v>7</v>
      </c>
      <c r="G17" s="67">
        <v>4</v>
      </c>
      <c r="H17" s="144" t="str">
        <f ca="1">IF(ISBLANK(INDIRECT(ADDRESS(K17*2+2,3))),"",INDIRECT(ADDRESS(K17*2+2,3)))</f>
        <v>Петраков, Петракова</v>
      </c>
      <c r="I17" s="142"/>
      <c r="J17" s="142"/>
      <c r="K17" s="70">
        <v>3</v>
      </c>
      <c r="L17" s="68" t="s">
        <v>132</v>
      </c>
      <c r="M17" s="71"/>
    </row>
    <row r="18" spans="1:13" s="65" customFormat="1" ht="30" customHeight="1">
      <c r="A18" s="64"/>
      <c r="M18" s="71"/>
    </row>
    <row r="19" spans="1:13" s="65" customFormat="1" ht="30" customHeight="1" thickBot="1">
      <c r="A19" s="64"/>
      <c r="B19" s="106" t="s">
        <v>5</v>
      </c>
      <c r="C19" s="106"/>
      <c r="D19" s="106"/>
      <c r="E19" s="106"/>
      <c r="F19" s="106"/>
      <c r="G19" s="106"/>
      <c r="H19" s="106"/>
      <c r="I19" s="106"/>
      <c r="J19" s="106"/>
      <c r="K19" s="106"/>
      <c r="M19" s="71"/>
    </row>
    <row r="20" spans="1:13" s="65" customFormat="1" ht="30" customHeight="1" thickBot="1">
      <c r="A20" s="64"/>
      <c r="B20" s="70">
        <v>4</v>
      </c>
      <c r="C20" s="142" t="str">
        <f ca="1">IF(ISBLANK(INDIRECT(ADDRESS(B20*2+2,3))),"",INDIRECT(ADDRESS(B20*2+2,3)))</f>
        <v>Харьковский, Лукина И.</v>
      </c>
      <c r="D20" s="142"/>
      <c r="E20" s="143"/>
      <c r="F20" s="66">
        <v>10</v>
      </c>
      <c r="G20" s="67">
        <v>8</v>
      </c>
      <c r="H20" s="144" t="str">
        <f ca="1">IF(ISBLANK(INDIRECT(ADDRESS(K20*2+2,3))),"",INDIRECT(ADDRESS(K20*2+2,3)))</f>
        <v>Петраков, Петракова</v>
      </c>
      <c r="I20" s="142"/>
      <c r="J20" s="142"/>
      <c r="K20" s="70">
        <v>3</v>
      </c>
      <c r="L20" s="68" t="s">
        <v>133</v>
      </c>
      <c r="M20" s="71"/>
    </row>
    <row r="21" spans="1:13" s="65" customFormat="1" ht="30" customHeight="1" thickBot="1">
      <c r="A21" s="64"/>
      <c r="B21" s="70">
        <v>1</v>
      </c>
      <c r="C21" s="142" t="str">
        <f ca="1">IF(ISBLANK(INDIRECT(ADDRESS(B21*2+2,3))),"",INDIRECT(ADDRESS(B21*2+2,3)))</f>
        <v>Лукин, Лукина Л.</v>
      </c>
      <c r="D21" s="142"/>
      <c r="E21" s="143"/>
      <c r="F21" s="66">
        <v>13</v>
      </c>
      <c r="G21" s="67">
        <v>2</v>
      </c>
      <c r="H21" s="144" t="str">
        <f ca="1">IF(ISBLANK(INDIRECT(ADDRESS(K21*2+2,3))),"",INDIRECT(ADDRESS(K21*2+2,3)))</f>
        <v>Попов М., Попова В.</v>
      </c>
      <c r="I21" s="142"/>
      <c r="J21" s="142"/>
      <c r="K21" s="70">
        <v>2</v>
      </c>
      <c r="L21" s="68" t="s">
        <v>134</v>
      </c>
      <c r="M21" s="71"/>
    </row>
    <row r="22" spans="1:13" s="65" customFormat="1" ht="30" customHeight="1">
      <c r="A22" s="64"/>
      <c r="M22" s="71"/>
    </row>
    <row r="23" spans="1:13" s="65" customFormat="1" ht="30" customHeight="1" thickBot="1">
      <c r="A23" s="64"/>
      <c r="B23" s="106" t="s">
        <v>6</v>
      </c>
      <c r="C23" s="106"/>
      <c r="D23" s="106"/>
      <c r="E23" s="106"/>
      <c r="F23" s="106"/>
      <c r="G23" s="106"/>
      <c r="H23" s="106"/>
      <c r="I23" s="106"/>
      <c r="J23" s="106"/>
      <c r="K23" s="106"/>
      <c r="M23" s="71"/>
    </row>
    <row r="24" spans="1:13" s="65" customFormat="1" ht="30" customHeight="1" thickBot="1">
      <c r="A24" s="64"/>
      <c r="B24" s="70">
        <v>2</v>
      </c>
      <c r="C24" s="142" t="str">
        <f ca="1">IF(ISBLANK(INDIRECT(ADDRESS(B24*2+2,3))),"",INDIRECT(ADDRESS(B24*2+2,3)))</f>
        <v>Попов М., Попова В.</v>
      </c>
      <c r="D24" s="142"/>
      <c r="E24" s="143"/>
      <c r="F24" s="66">
        <v>7</v>
      </c>
      <c r="G24" s="67">
        <v>8</v>
      </c>
      <c r="H24" s="144" t="str">
        <f ca="1">IF(ISBLANK(INDIRECT(ADDRESS(K24*2+2,3))),"",INDIRECT(ADDRESS(K24*2+2,3)))</f>
        <v>Харьковский, Лукина И.</v>
      </c>
      <c r="I24" s="142"/>
      <c r="J24" s="142"/>
      <c r="K24" s="70">
        <v>4</v>
      </c>
      <c r="L24" s="68" t="s">
        <v>135</v>
      </c>
      <c r="M24" s="71"/>
    </row>
    <row r="25" spans="1:13" s="65" customFormat="1" ht="30" customHeight="1" thickBot="1">
      <c r="A25" s="64"/>
      <c r="B25" s="70">
        <v>3</v>
      </c>
      <c r="C25" s="142" t="str">
        <f ca="1">IF(ISBLANK(INDIRECT(ADDRESS(B25*2+2,3))),"",INDIRECT(ADDRESS(B25*2+2,3)))</f>
        <v>Петраков, Петракова</v>
      </c>
      <c r="D25" s="142"/>
      <c r="E25" s="143"/>
      <c r="F25" s="66">
        <v>8</v>
      </c>
      <c r="G25" s="67">
        <v>7</v>
      </c>
      <c r="H25" s="144" t="str">
        <f ca="1">IF(ISBLANK(INDIRECT(ADDRESS(K25*2+2,3))),"",INDIRECT(ADDRESS(K25*2+2,3)))</f>
        <v>Лукин, Лукина Л.</v>
      </c>
      <c r="I25" s="142"/>
      <c r="J25" s="142"/>
      <c r="K25" s="70">
        <v>1</v>
      </c>
      <c r="L25" s="68" t="s">
        <v>136</v>
      </c>
      <c r="M25" s="71"/>
    </row>
    <row r="28" spans="1:13" ht="21">
      <c r="B28" s="90" t="s">
        <v>99</v>
      </c>
      <c r="C28" s="90"/>
      <c r="D28" s="90"/>
      <c r="E28" s="29"/>
      <c r="F28" s="29"/>
      <c r="G28" s="29"/>
      <c r="H28" s="29"/>
      <c r="I28" s="29"/>
    </row>
    <row r="29" spans="1:13" ht="21">
      <c r="B29" s="90"/>
      <c r="C29" s="90"/>
      <c r="D29" s="90"/>
      <c r="E29" s="29"/>
      <c r="F29" s="29"/>
      <c r="G29" s="29"/>
      <c r="H29" s="29"/>
      <c r="I29" s="29"/>
    </row>
    <row r="30" spans="1:13" ht="21">
      <c r="B30" s="90"/>
      <c r="C30" s="90"/>
      <c r="D30" s="90"/>
      <c r="E30" s="29"/>
      <c r="F30" s="29"/>
      <c r="G30" s="29"/>
      <c r="H30" s="29"/>
      <c r="I30" s="29"/>
    </row>
    <row r="31" spans="1:13" ht="21">
      <c r="B31" s="90" t="s">
        <v>130</v>
      </c>
      <c r="C31" s="90"/>
      <c r="D31" s="90"/>
      <c r="E31" s="29"/>
      <c r="F31" s="29"/>
      <c r="G31" s="29"/>
      <c r="H31" s="29"/>
      <c r="I31" s="29"/>
    </row>
  </sheetData>
  <sheetCalcPr fullCalcOnLoad="1"/>
  <mergeCells count="33">
    <mergeCell ref="B6:B7"/>
    <mergeCell ref="C6:E7"/>
    <mergeCell ref="J6:J7"/>
    <mergeCell ref="B1:L1"/>
    <mergeCell ref="L6:L7"/>
    <mergeCell ref="C3:E3"/>
    <mergeCell ref="B4:B5"/>
    <mergeCell ref="C4:E5"/>
    <mergeCell ref="J4:J5"/>
    <mergeCell ref="L4:L5"/>
    <mergeCell ref="B19:K19"/>
    <mergeCell ref="L8:L9"/>
    <mergeCell ref="B10:B11"/>
    <mergeCell ref="C10:E11"/>
    <mergeCell ref="J10:J11"/>
    <mergeCell ref="L10:L11"/>
    <mergeCell ref="B8:B9"/>
    <mergeCell ref="C8:E9"/>
    <mergeCell ref="J8:J9"/>
    <mergeCell ref="B15:K15"/>
    <mergeCell ref="C16:E16"/>
    <mergeCell ref="H16:J16"/>
    <mergeCell ref="C17:E17"/>
    <mergeCell ref="H17:J17"/>
    <mergeCell ref="C25:E25"/>
    <mergeCell ref="H25:J25"/>
    <mergeCell ref="C20:E20"/>
    <mergeCell ref="H20:J20"/>
    <mergeCell ref="C21:E21"/>
    <mergeCell ref="H21:J21"/>
    <mergeCell ref="B23:K23"/>
    <mergeCell ref="C24:E24"/>
    <mergeCell ref="H24:J24"/>
  </mergeCells>
  <phoneticPr fontId="10" type="noConversion"/>
  <printOptions horizontalCentered="1"/>
  <pageMargins left="0.25" right="0.25" top="0.75" bottom="0.75" header="0.3" footer="0.3"/>
  <pageSetup paperSize="9" scale="84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ОРТ муж</vt:lpstr>
      <vt:lpstr>Итоги ГП России ОРТ муж</vt:lpstr>
      <vt:lpstr>ОРТ жен группа А</vt:lpstr>
      <vt:lpstr>ОРТ жен группа В</vt:lpstr>
      <vt:lpstr>ОРТ жен кубок А</vt:lpstr>
      <vt:lpstr>ОРТ жен кубок В</vt:lpstr>
      <vt:lpstr>ОРТ жен кубок С</vt:lpstr>
      <vt:lpstr>Итоги ГП России ОРТ жен</vt:lpstr>
      <vt:lpstr>Кубок ВФБ группа А</vt:lpstr>
      <vt:lpstr>Кубок ВФБ группа В</vt:lpstr>
      <vt:lpstr>Кубок ВФБ группа С</vt:lpstr>
      <vt:lpstr>Кубок ВФБ группа D</vt:lpstr>
      <vt:lpstr>Кубок ВФБ кубок А</vt:lpstr>
      <vt:lpstr>Кубок ВФБ кубок В</vt:lpstr>
      <vt:lpstr>Кубок ВФБ кубок С</vt:lpstr>
      <vt:lpstr>Кубок ВФБ кубок D</vt:lpstr>
      <vt:lpstr>Итоги ГП России Кубок ВФБ двойк</vt:lpstr>
      <vt:lpstr>Служебный лист</vt:lpstr>
    </vt:vector>
  </TitlesOfParts>
  <Company>Домашний компьютер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Крапиль</dc:creator>
  <cp:lastModifiedBy>EMPEROR</cp:lastModifiedBy>
  <cp:lastPrinted>2025-08-11T11:14:09Z</cp:lastPrinted>
  <dcterms:created xsi:type="dcterms:W3CDTF">2009-05-19T09:37:33Z</dcterms:created>
  <dcterms:modified xsi:type="dcterms:W3CDTF">2025-08-12T11:14:44Z</dcterms:modified>
</cp:coreProperties>
</file>