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Петанк\Турниры\Московские дуплеты\2025\"/>
    </mc:Choice>
  </mc:AlternateContent>
  <bookViews>
    <workbookView xWindow="120" yWindow="165" windowWidth="18975" windowHeight="7200" activeTab="4"/>
  </bookViews>
  <sheets>
    <sheet name="X" sheetId="39" r:id="rId1"/>
    <sheet name="A" sheetId="24" r:id="rId2"/>
    <sheet name="B" sheetId="16" r:id="rId3"/>
    <sheet name="C" sheetId="15" r:id="rId4"/>
    <sheet name="Кубок А" sheetId="20" r:id="rId5"/>
    <sheet name="Кубок В" sheetId="40" r:id="rId6"/>
    <sheet name="График" sheetId="41" r:id="rId7"/>
    <sheet name="Служебный лист" sheetId="4" state="hidden" r:id="rId8"/>
  </sheets>
  <calcPr calcId="162913" refMode="R1C1"/>
</workbook>
</file>

<file path=xl/calcChain.xml><?xml version="1.0" encoding="utf-8"?>
<calcChain xmlns="http://schemas.openxmlformats.org/spreadsheetml/2006/main">
  <c r="I8" i="24" l="1"/>
  <c r="I8" i="15"/>
  <c r="J6" i="15"/>
  <c r="C4" i="15"/>
  <c r="F14" i="24"/>
  <c r="G4" i="24"/>
  <c r="C14" i="15"/>
  <c r="B8" i="20" s="1"/>
  <c r="K4" i="15"/>
  <c r="J10" i="24"/>
  <c r="F8" i="24"/>
  <c r="F8" i="15"/>
  <c r="G12" i="24"/>
  <c r="C4" i="24"/>
  <c r="I14" i="24"/>
  <c r="J14" i="15"/>
  <c r="G8" i="15"/>
  <c r="G10" i="15"/>
  <c r="C20" i="15"/>
  <c r="C25" i="15"/>
  <c r="J4" i="15"/>
  <c r="G4" i="15"/>
  <c r="G14" i="15"/>
  <c r="C35" i="15"/>
  <c r="J8" i="15"/>
  <c r="H42" i="15"/>
  <c r="K10" i="15"/>
  <c r="G12" i="15"/>
  <c r="H6" i="15"/>
  <c r="H42" i="24"/>
  <c r="H14" i="24"/>
  <c r="C10" i="24"/>
  <c r="C32" i="24"/>
  <c r="J6" i="24"/>
  <c r="J11" i="24"/>
  <c r="K6" i="15"/>
  <c r="I14" i="15"/>
  <c r="C8" i="24"/>
  <c r="F6" i="15"/>
  <c r="C31" i="24"/>
  <c r="H4" i="24"/>
  <c r="I12" i="15"/>
  <c r="H26" i="24"/>
  <c r="C8" i="15"/>
  <c r="H6" i="24"/>
  <c r="C31" i="15"/>
  <c r="K4" i="24"/>
  <c r="C6" i="15"/>
  <c r="B12" i="20"/>
  <c r="H20" i="15"/>
  <c r="H31" i="24"/>
  <c r="C22" i="15"/>
  <c r="C37" i="15"/>
  <c r="H40" i="15"/>
  <c r="C14" i="24"/>
  <c r="C35" i="24" s="1"/>
  <c r="C25" i="24"/>
  <c r="C41" i="24"/>
  <c r="H36" i="24"/>
  <c r="H25" i="24"/>
  <c r="H37" i="24"/>
  <c r="C40" i="15"/>
  <c r="B20" i="40"/>
  <c r="H40" i="24"/>
  <c r="H20" i="24"/>
  <c r="G10" i="24"/>
  <c r="H30" i="15"/>
  <c r="C10" i="15"/>
  <c r="C12" i="15"/>
  <c r="H31" i="15"/>
  <c r="B4" i="40"/>
  <c r="C36" i="24"/>
  <c r="C12" i="24"/>
  <c r="K10" i="24"/>
  <c r="F10" i="24"/>
  <c r="C27" i="24"/>
  <c r="H10" i="24"/>
  <c r="C6" i="24"/>
  <c r="C37" i="24"/>
  <c r="K12" i="24"/>
  <c r="I6" i="15"/>
  <c r="I6" i="24"/>
  <c r="H12" i="24"/>
  <c r="C36" i="15"/>
  <c r="I4" i="24"/>
  <c r="I4" i="15"/>
  <c r="H21" i="15"/>
  <c r="H12" i="15"/>
  <c r="J8" i="24"/>
  <c r="K6" i="24"/>
  <c r="J10" i="15"/>
  <c r="I12" i="24"/>
  <c r="H14" i="15"/>
  <c r="K8" i="24"/>
  <c r="F12" i="24"/>
  <c r="C20" i="24"/>
  <c r="F10" i="15"/>
  <c r="G14" i="24"/>
  <c r="H4" i="15"/>
  <c r="G8" i="24"/>
  <c r="J14" i="24"/>
  <c r="H10" i="15"/>
  <c r="K12" i="15"/>
  <c r="J4" i="24"/>
  <c r="F12" i="15"/>
  <c r="K11" i="24"/>
  <c r="K8" i="15"/>
  <c r="F14" i="15"/>
  <c r="H37" i="15"/>
  <c r="H36" i="15"/>
  <c r="C41" i="15"/>
  <c r="C30" i="15"/>
  <c r="H35" i="15"/>
  <c r="B24" i="40"/>
  <c r="F6" i="24"/>
  <c r="C32" i="15"/>
  <c r="H32" i="24"/>
  <c r="H41" i="24"/>
  <c r="C21" i="24"/>
  <c r="B32" i="20"/>
  <c r="H22" i="24"/>
  <c r="B24" i="20"/>
  <c r="C22" i="24"/>
  <c r="H26" i="15"/>
  <c r="H27" i="15"/>
  <c r="H30" i="24"/>
  <c r="C26" i="15"/>
  <c r="C42" i="15"/>
  <c r="C42" i="24"/>
  <c r="C26" i="24"/>
  <c r="H21" i="24"/>
  <c r="C30" i="24"/>
  <c r="H27" i="24"/>
  <c r="F22" i="20" l="1"/>
  <c r="J26" i="20" s="1"/>
  <c r="F14" i="20"/>
  <c r="F22" i="40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J5" i="24"/>
  <c r="B32" i="40"/>
  <c r="F15" i="24"/>
  <c r="I9" i="15"/>
  <c r="I13" i="15"/>
  <c r="J15" i="24"/>
  <c r="J15" i="15"/>
  <c r="H5" i="24"/>
  <c r="F13" i="24"/>
  <c r="I5" i="15"/>
  <c r="G9" i="15"/>
  <c r="H41" i="15"/>
  <c r="J11" i="15"/>
  <c r="I15" i="15"/>
  <c r="H5" i="15"/>
  <c r="G11" i="15"/>
  <c r="G5" i="15"/>
  <c r="K13" i="15"/>
  <c r="K7" i="15"/>
  <c r="F7" i="15"/>
  <c r="H11" i="15"/>
  <c r="F9" i="24"/>
  <c r="G13" i="15"/>
  <c r="H22" i="15"/>
  <c r="B16" i="40"/>
  <c r="K7" i="24"/>
  <c r="F15" i="15"/>
  <c r="C40" i="24"/>
  <c r="K9" i="24"/>
  <c r="J5" i="15"/>
  <c r="I9" i="24"/>
  <c r="H13" i="15"/>
  <c r="F11" i="15"/>
  <c r="B4" i="20"/>
  <c r="B20" i="20"/>
  <c r="H15" i="15"/>
  <c r="J7" i="24"/>
  <c r="J9" i="24"/>
  <c r="I13" i="24"/>
  <c r="I7" i="15"/>
  <c r="G9" i="24"/>
  <c r="K5" i="24"/>
  <c r="G13" i="24"/>
  <c r="I15" i="24"/>
  <c r="K9" i="15"/>
  <c r="G11" i="24"/>
  <c r="K11" i="15"/>
  <c r="G5" i="24"/>
  <c r="C21" i="15"/>
  <c r="J9" i="15"/>
  <c r="H11" i="24"/>
  <c r="H15" i="24"/>
  <c r="F7" i="24"/>
  <c r="G15" i="24"/>
  <c r="I5" i="24"/>
  <c r="K13" i="24"/>
  <c r="K5" i="15"/>
  <c r="H13" i="24"/>
  <c r="J7" i="15"/>
  <c r="C27" i="15"/>
  <c r="H7" i="15"/>
  <c r="H32" i="15"/>
  <c r="H7" i="24"/>
  <c r="I7" i="24"/>
  <c r="F13" i="15"/>
  <c r="H35" i="24"/>
  <c r="F9" i="15"/>
  <c r="H25" i="15"/>
  <c r="F11" i="24"/>
  <c r="G15" i="15"/>
  <c r="F6" i="20" l="1"/>
  <c r="J10" i="20" s="1"/>
  <c r="N18" i="20" s="1"/>
  <c r="L6" i="15"/>
  <c r="M7" i="15"/>
  <c r="M13" i="15"/>
  <c r="L12" i="15"/>
  <c r="M9" i="15"/>
  <c r="L8" i="15"/>
  <c r="M11" i="15"/>
  <c r="L10" i="15"/>
  <c r="L4" i="15"/>
  <c r="M5" i="15"/>
  <c r="L14" i="15"/>
  <c r="M15" i="15"/>
  <c r="L8" i="24"/>
  <c r="M9" i="24"/>
  <c r="M11" i="24"/>
  <c r="L10" i="24"/>
  <c r="L14" i="24"/>
  <c r="M15" i="24"/>
  <c r="M13" i="24"/>
  <c r="L12" i="24"/>
  <c r="L4" i="24"/>
  <c r="M5" i="24"/>
  <c r="L6" i="24"/>
  <c r="M7" i="24"/>
  <c r="AB4" i="4"/>
  <c r="O8" i="4"/>
  <c r="S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A12" i="4"/>
  <c r="AB12" i="4"/>
  <c r="AB14" i="4"/>
  <c r="O26" i="4"/>
  <c r="AB25" i="4"/>
  <c r="AB26" i="4"/>
  <c r="S14" i="4"/>
  <c r="S25" i="4"/>
  <c r="AB19" i="4"/>
  <c r="AB20" i="4"/>
  <c r="Y26" i="4"/>
  <c r="S15" i="4"/>
  <c r="P26" i="4"/>
  <c r="S13" i="4"/>
  <c r="AB18" i="4"/>
  <c r="V25" i="4"/>
  <c r="M24" i="4"/>
  <c r="AA26" i="4"/>
  <c r="Q24" i="4"/>
  <c r="AB15" i="4"/>
  <c r="AB23" i="4"/>
  <c r="AB16" i="4"/>
  <c r="R26" i="4"/>
  <c r="S11" i="4"/>
  <c r="Q26" i="4"/>
  <c r="S19" i="4"/>
  <c r="AA15" i="4"/>
  <c r="Z25" i="4"/>
  <c r="P25" i="4"/>
  <c r="M23" i="4"/>
  <c r="S18" i="4"/>
  <c r="S24" i="4"/>
  <c r="R25" i="4"/>
  <c r="AB13" i="4"/>
  <c r="S23" i="4"/>
  <c r="L26" i="4"/>
  <c r="AB11" i="4"/>
  <c r="Q25" i="4"/>
  <c r="O24" i="4"/>
  <c r="AA25" i="4"/>
  <c r="S20" i="4"/>
  <c r="V26" i="4"/>
  <c r="U25" i="4"/>
  <c r="M25" i="4"/>
  <c r="S16" i="4"/>
  <c r="S12" i="4"/>
  <c r="Q23" i="4"/>
  <c r="S17" i="4"/>
  <c r="U26" i="4"/>
  <c r="L25" i="4"/>
  <c r="Z26" i="4"/>
  <c r="N25" i="4"/>
  <c r="W25" i="4"/>
  <c r="M26" i="4"/>
  <c r="AB17" i="4"/>
  <c r="N26" i="4"/>
  <c r="X26" i="4"/>
  <c r="AA16" i="4"/>
  <c r="S26" i="4"/>
  <c r="O23" i="4"/>
  <c r="AB22" i="4"/>
  <c r="AB21" i="4"/>
  <c r="AB24" i="4"/>
  <c r="W26" i="4"/>
  <c r="S21" i="4"/>
  <c r="S22" i="4"/>
  <c r="X25" i="4"/>
  <c r="Y25" i="4"/>
  <c r="AA11" i="4"/>
  <c r="O25" i="4"/>
  <c r="B36" i="20" l="1"/>
  <c r="M42" i="4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R22" i="4"/>
  <c r="N24" i="4"/>
  <c r="V24" i="4"/>
  <c r="P24" i="4"/>
  <c r="R24" i="4"/>
  <c r="R17" i="4"/>
  <c r="AA22" i="4"/>
  <c r="AA18" i="4"/>
  <c r="V23" i="4"/>
  <c r="R23" i="4"/>
  <c r="Y24" i="4"/>
  <c r="R13" i="4"/>
  <c r="U24" i="4"/>
  <c r="W23" i="4"/>
  <c r="Z24" i="4"/>
  <c r="X24" i="4"/>
  <c r="R15" i="4"/>
  <c r="AA20" i="4"/>
  <c r="X23" i="4"/>
  <c r="U23" i="4"/>
  <c r="AA17" i="4"/>
  <c r="R16" i="4"/>
  <c r="AA13" i="4"/>
  <c r="Y23" i="4"/>
  <c r="N23" i="4"/>
  <c r="Z23" i="4"/>
  <c r="R12" i="4"/>
  <c r="R11" i="4"/>
  <c r="AA23" i="4"/>
  <c r="AA24" i="4"/>
  <c r="R18" i="4"/>
  <c r="AA21" i="4"/>
  <c r="P23" i="4"/>
  <c r="R19" i="4"/>
  <c r="R14" i="4"/>
  <c r="L24" i="4"/>
  <c r="R21" i="4"/>
  <c r="AA14" i="4"/>
  <c r="W24" i="4"/>
  <c r="R20" i="4"/>
  <c r="L23" i="4"/>
  <c r="AA19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I6" i="16"/>
  <c r="J10" i="16"/>
  <c r="H4" i="16"/>
  <c r="I8" i="16"/>
  <c r="H10" i="16"/>
  <c r="F8" i="16"/>
  <c r="C4" i="16"/>
  <c r="C6" i="16"/>
  <c r="F12" i="16"/>
  <c r="H35" i="16"/>
  <c r="C30" i="16"/>
  <c r="H12" i="16"/>
  <c r="F10" i="16"/>
  <c r="J4" i="16"/>
  <c r="C23" i="16"/>
  <c r="I4" i="16"/>
  <c r="G4" i="16"/>
  <c r="C8" i="16"/>
  <c r="C26" i="16" s="1"/>
  <c r="G12" i="16"/>
  <c r="I12" i="16"/>
  <c r="J8" i="16"/>
  <c r="H22" i="16"/>
  <c r="C10" i="16"/>
  <c r="G8" i="16"/>
  <c r="G10" i="16"/>
  <c r="H6" i="16"/>
  <c r="C19" i="16"/>
  <c r="J6" i="16"/>
  <c r="C12" i="16"/>
  <c r="B28" i="40" s="1"/>
  <c r="H34" i="16"/>
  <c r="F6" i="16"/>
  <c r="C18" i="16"/>
  <c r="H18" i="16"/>
  <c r="H27" i="16"/>
  <c r="H30" i="16"/>
  <c r="H19" i="16"/>
  <c r="F30" i="40" l="1"/>
  <c r="A6" i="4"/>
  <c r="B6" i="4"/>
  <c r="C6" i="4"/>
  <c r="D6" i="4"/>
  <c r="E6" i="4"/>
  <c r="F1" i="4"/>
  <c r="C34" i="16"/>
  <c r="H26" i="16"/>
  <c r="H7" i="16"/>
  <c r="I13" i="16"/>
  <c r="H11" i="16"/>
  <c r="B12" i="40"/>
  <c r="J5" i="16"/>
  <c r="F9" i="16"/>
  <c r="H13" i="16"/>
  <c r="I5" i="16"/>
  <c r="G9" i="16"/>
  <c r="F13" i="16"/>
  <c r="I7" i="16"/>
  <c r="H5" i="16"/>
  <c r="I9" i="16"/>
  <c r="J7" i="16"/>
  <c r="F11" i="16"/>
  <c r="H23" i="16"/>
  <c r="C35" i="16"/>
  <c r="C27" i="16"/>
  <c r="B8" i="40"/>
  <c r="G5" i="16"/>
  <c r="J9" i="16"/>
  <c r="B28" i="20"/>
  <c r="G13" i="16"/>
  <c r="H31" i="16"/>
  <c r="C22" i="16"/>
  <c r="C31" i="16"/>
  <c r="F7" i="16"/>
  <c r="G11" i="16"/>
  <c r="J11" i="16"/>
  <c r="B16" i="20"/>
  <c r="B40" i="40" l="1"/>
  <c r="J26" i="40"/>
  <c r="F30" i="20"/>
  <c r="B40" i="20" s="1"/>
  <c r="F38" i="20" s="1"/>
  <c r="F6" i="40"/>
  <c r="J10" i="40" s="1"/>
  <c r="N18" i="40" s="1"/>
  <c r="F14" i="40"/>
  <c r="B36" i="40" s="1"/>
  <c r="F38" i="40" s="1"/>
  <c r="K12" i="16"/>
  <c r="L13" i="16"/>
  <c r="K10" i="16"/>
  <c r="L11" i="16"/>
  <c r="K8" i="16"/>
  <c r="L9" i="16"/>
  <c r="K6" i="16"/>
  <c r="L7" i="16"/>
  <c r="K4" i="16"/>
  <c r="L5" i="16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P18" i="4"/>
  <c r="P15" i="4"/>
  <c r="O12" i="4"/>
  <c r="Q21" i="4"/>
  <c r="Q18" i="4"/>
  <c r="M20" i="4"/>
  <c r="W21" i="4"/>
  <c r="X22" i="4"/>
  <c r="Y13" i="4"/>
  <c r="X17" i="4"/>
  <c r="Y11" i="4"/>
  <c r="N19" i="4"/>
  <c r="Z21" i="4"/>
  <c r="W18" i="4"/>
  <c r="M18" i="4"/>
  <c r="V22" i="4"/>
  <c r="X18" i="4"/>
  <c r="W17" i="4"/>
  <c r="M17" i="4"/>
  <c r="N21" i="4"/>
  <c r="W20" i="4"/>
  <c r="Y20" i="4"/>
  <c r="O22" i="4"/>
  <c r="Q22" i="4"/>
  <c r="P16" i="4"/>
  <c r="L21" i="4"/>
  <c r="Q11" i="4"/>
  <c r="O18" i="4"/>
  <c r="Y15" i="4"/>
  <c r="N18" i="4"/>
  <c r="Q15" i="4"/>
  <c r="N17" i="4"/>
  <c r="Y16" i="4"/>
  <c r="L20" i="4"/>
  <c r="X14" i="4"/>
  <c r="P14" i="4"/>
  <c r="X15" i="4"/>
  <c r="X13" i="4"/>
  <c r="Z20" i="4"/>
  <c r="O21" i="4"/>
  <c r="Y21" i="4"/>
  <c r="V21" i="4"/>
  <c r="U18" i="4"/>
  <c r="P22" i="4"/>
  <c r="Z22" i="4"/>
  <c r="O15" i="4"/>
  <c r="L19" i="4"/>
  <c r="P17" i="4"/>
  <c r="L22" i="4"/>
  <c r="Q17" i="4"/>
  <c r="U21" i="4"/>
  <c r="Q19" i="4"/>
  <c r="Q12" i="4"/>
  <c r="X16" i="4"/>
  <c r="U17" i="4"/>
  <c r="Y12" i="4"/>
  <c r="O13" i="4"/>
  <c r="Z17" i="4"/>
  <c r="M19" i="4"/>
  <c r="P11" i="4"/>
  <c r="U22" i="4"/>
  <c r="V20" i="4"/>
  <c r="X11" i="4"/>
  <c r="Y17" i="4"/>
  <c r="O17" i="4"/>
  <c r="L17" i="4"/>
  <c r="Y22" i="4"/>
  <c r="P21" i="4"/>
  <c r="Z13" i="4"/>
  <c r="V19" i="4"/>
  <c r="O19" i="4"/>
  <c r="Q20" i="4"/>
  <c r="Y19" i="4"/>
  <c r="O14" i="4"/>
  <c r="Z11" i="4"/>
  <c r="X20" i="4"/>
  <c r="P12" i="4"/>
  <c r="W22" i="4"/>
  <c r="M21" i="4"/>
  <c r="U20" i="4"/>
  <c r="O20" i="4"/>
  <c r="U19" i="4"/>
  <c r="N22" i="4"/>
  <c r="L18" i="4"/>
  <c r="O11" i="4"/>
  <c r="Q14" i="4"/>
  <c r="P19" i="4"/>
  <c r="Y18" i="4"/>
  <c r="Z18" i="4"/>
  <c r="M22" i="4"/>
  <c r="V18" i="4"/>
  <c r="Z14" i="4"/>
  <c r="Q13" i="4"/>
  <c r="P13" i="4"/>
  <c r="O16" i="4"/>
  <c r="Z12" i="4"/>
  <c r="X12" i="4"/>
  <c r="X21" i="4"/>
  <c r="N20" i="4"/>
  <c r="Y14" i="4"/>
  <c r="V17" i="4"/>
  <c r="W19" i="4"/>
  <c r="Z16" i="4"/>
  <c r="X19" i="4"/>
  <c r="P20" i="4"/>
  <c r="Q16" i="4"/>
  <c r="Z19" i="4"/>
  <c r="Z15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4" i="4"/>
  <c r="N13" i="4"/>
  <c r="W11" i="4"/>
  <c r="M12" i="4"/>
  <c r="M13" i="4"/>
  <c r="N16" i="4"/>
  <c r="N15" i="4"/>
  <c r="M16" i="4"/>
  <c r="M11" i="4"/>
  <c r="M15" i="4"/>
  <c r="N14" i="4"/>
  <c r="W12" i="4"/>
  <c r="V2" i="4" l="1"/>
  <c r="L1" i="4"/>
  <c r="N1" i="4"/>
  <c r="U1" i="4"/>
  <c r="V1" i="4"/>
  <c r="V3" i="4"/>
  <c r="W2" i="4"/>
  <c r="U2" i="4"/>
  <c r="W3" i="4"/>
  <c r="U3" i="4"/>
  <c r="L11" i="4"/>
  <c r="U15" i="4"/>
  <c r="U12" i="4"/>
  <c r="V14" i="4"/>
  <c r="U11" i="4"/>
  <c r="L12" i="4"/>
  <c r="V12" i="4"/>
  <c r="V15" i="4"/>
  <c r="W13" i="4"/>
  <c r="L16" i="4"/>
  <c r="L13" i="4"/>
  <c r="U14" i="4"/>
  <c r="N12" i="4"/>
  <c r="V13" i="4"/>
  <c r="V11" i="4"/>
  <c r="W15" i="4"/>
  <c r="U16" i="4"/>
  <c r="W16" i="4"/>
  <c r="U13" i="4"/>
  <c r="N11" i="4"/>
  <c r="W14" i="4"/>
  <c r="V16" i="4"/>
  <c r="L14" i="4"/>
  <c r="L15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<sst xmlns="http://schemas.openxmlformats.org/spreadsheetml/2006/main" count="252" uniqueCount="116">
  <si>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</si>
  <si>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</si>
  <si>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</si>
  <si>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</si>
  <si>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</si>
  <si>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</si>
  <si>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</si>
  <si>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</si>
  <si>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</si>
  <si>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</si>
  <si>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</si>
  <si>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</si>
  <si>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Группа А</t>
  </si>
  <si>
    <t>Кубок А</t>
  </si>
  <si>
    <t>A</t>
  </si>
  <si>
    <t>C</t>
  </si>
  <si>
    <t>B</t>
  </si>
  <si>
    <t>Соколова Ольга</t>
  </si>
  <si>
    <t>Павлова Ирина</t>
  </si>
  <si>
    <t>Савченко Елена</t>
  </si>
  <si>
    <t>Дубовицкая Ольга</t>
  </si>
  <si>
    <t>Курбанова Маргарита</t>
  </si>
  <si>
    <t>Хафизова Индира</t>
  </si>
  <si>
    <t>Лукьянова Ирина</t>
  </si>
  <si>
    <t>Коппа Нина</t>
  </si>
  <si>
    <t>Артюхина Елена</t>
  </si>
  <si>
    <t>Бирюкова Наталья</t>
  </si>
  <si>
    <t>Петрушко Юлия</t>
  </si>
  <si>
    <t>Баринова Светлана</t>
  </si>
  <si>
    <t>Зимина Светлана</t>
  </si>
  <si>
    <t>Елсакова Алена</t>
  </si>
  <si>
    <t>Алкина Светлана</t>
  </si>
  <si>
    <t>Грачанац Наталья</t>
  </si>
  <si>
    <t>Кузнецова Елена</t>
  </si>
  <si>
    <t>Березнеговская Светлана</t>
  </si>
  <si>
    <t>Елсакова Оксана</t>
  </si>
  <si>
    <t>Гуменюк Ирина</t>
  </si>
  <si>
    <t>Таратина Елена</t>
  </si>
  <si>
    <t>Карепова Елена</t>
  </si>
  <si>
    <t>Зубова Наталья</t>
  </si>
  <si>
    <t>Мурашова Елена</t>
  </si>
  <si>
    <t>Трофимова Катерина</t>
  </si>
  <si>
    <t>Полякова Оксана</t>
  </si>
  <si>
    <t>Багаутдинова Гульназ</t>
  </si>
  <si>
    <t>Кондратова Нина</t>
  </si>
  <si>
    <t>Воробьева Лиза</t>
  </si>
  <si>
    <t>Кирменская Елена</t>
  </si>
  <si>
    <t>Тюрина Елена</t>
  </si>
  <si>
    <t>Догова О</t>
  </si>
  <si>
    <t>Проценко Е</t>
  </si>
  <si>
    <t>Павлова-Соколова</t>
  </si>
  <si>
    <t>Курбанова-Хафизова</t>
  </si>
  <si>
    <t>Коппа-Лукьянова</t>
  </si>
  <si>
    <t>Артюхина-Бирюкова</t>
  </si>
  <si>
    <t>Баринова-Петрушко</t>
  </si>
  <si>
    <t>Елсакова-Зимина</t>
  </si>
  <si>
    <t>Алкина-Грачанац</t>
  </si>
  <si>
    <t>Березнеговская-Кузнецова</t>
  </si>
  <si>
    <t>Гуменюк-Елсакова</t>
  </si>
  <si>
    <t>Карепова-Таратина</t>
  </si>
  <si>
    <t>Зубова-Мурашова</t>
  </si>
  <si>
    <t>Полякова-Трофимова</t>
  </si>
  <si>
    <t>Багаутдинова-Кондратова</t>
  </si>
  <si>
    <t>Воробьева-Кирменская</t>
  </si>
  <si>
    <t>x</t>
  </si>
  <si>
    <t>Жребий</t>
  </si>
  <si>
    <t>Игрок 1</t>
  </si>
  <si>
    <t>Игрок 2</t>
  </si>
  <si>
    <t>Утро</t>
  </si>
  <si>
    <t>вечер</t>
  </si>
  <si>
    <t>Кубок В</t>
  </si>
  <si>
    <t>За 3-е место</t>
  </si>
  <si>
    <t>a</t>
  </si>
  <si>
    <t>b</t>
  </si>
  <si>
    <t>c</t>
  </si>
  <si>
    <t>Группа B</t>
  </si>
  <si>
    <t>Группа C</t>
  </si>
  <si>
    <t>распред.</t>
  </si>
  <si>
    <t>График свистков</t>
  </si>
  <si>
    <t>Суббота 12.04.25</t>
  </si>
  <si>
    <t>время</t>
  </si>
  <si>
    <t>тур</t>
  </si>
  <si>
    <t>1 тур утро</t>
  </si>
  <si>
    <t>10:00-10:50</t>
  </si>
  <si>
    <t>11:05-11:55</t>
  </si>
  <si>
    <t>2 тур утро</t>
  </si>
  <si>
    <t>12:10-13:00</t>
  </si>
  <si>
    <t>3 тур утро</t>
  </si>
  <si>
    <t>13:15-14:05</t>
  </si>
  <si>
    <t>4 тур утро</t>
  </si>
  <si>
    <t>14:20-15:10</t>
  </si>
  <si>
    <t>5 тур утро</t>
  </si>
  <si>
    <t>16:00-16:50</t>
  </si>
  <si>
    <t>1 тур вечер</t>
  </si>
  <si>
    <t>17:05-17:55</t>
  </si>
  <si>
    <t>2 тур вечер</t>
  </si>
  <si>
    <t>3 тур вечер</t>
  </si>
  <si>
    <t>4 тур вечер</t>
  </si>
  <si>
    <t>5 тур вечер</t>
  </si>
  <si>
    <t>18:10-19:00</t>
  </si>
  <si>
    <t>19:15-20:05</t>
  </si>
  <si>
    <t>20:20-21:10</t>
  </si>
  <si>
    <t>11:00-12:10</t>
  </si>
  <si>
    <t>1/4 кубка В</t>
  </si>
  <si>
    <t>12:30-13:40</t>
  </si>
  <si>
    <t>1/4 кубка А</t>
  </si>
  <si>
    <t>14:00-15:30</t>
  </si>
  <si>
    <t>полуфиналы</t>
  </si>
  <si>
    <t>примерно в 16</t>
  </si>
  <si>
    <t>финалы</t>
  </si>
  <si>
    <t>Воскресенье 13 апр</t>
  </si>
  <si>
    <t>Савченко-Дубовицкая</t>
  </si>
  <si>
    <t>Отказ от кубка В</t>
  </si>
  <si>
    <t>Кузнецова-Тюрина</t>
  </si>
  <si>
    <t>Кузнецова Людмила</t>
  </si>
  <si>
    <t>Долгова-Проценко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</si>
</sst>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36"/>
      <color indexed="8"/>
      <name val="Cambria"/>
      <family val="1"/>
      <charset val="204"/>
    </font>
    <font>
      <sz val="14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3" borderId="7" xfId="0" applyFont="1" applyFill="1" applyBorder="1"/>
    <xf numFmtId="0" fontId="9" fillId="3" borderId="7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2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 indent="1"/>
    </xf>
    <xf numFmtId="0" fontId="3" fillId="3" borderId="26" xfId="0" applyFont="1" applyFill="1" applyBorder="1" applyAlignment="1">
      <alignment horizontal="left" vertical="center" wrapText="1" indent="1"/>
    </xf>
    <xf numFmtId="0" fontId="3" fillId="3" borderId="27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 wrapText="1" indent="1"/>
    </xf>
    <xf numFmtId="0" fontId="3" fillId="3" borderId="29" xfId="0" applyFont="1" applyFill="1" applyBorder="1" applyAlignment="1">
      <alignment horizontal="left" vertical="center" wrapText="1" indent="1"/>
    </xf>
    <xf numFmtId="0" fontId="3" fillId="3" borderId="30" xfId="0" applyFont="1" applyFill="1" applyBorder="1" applyAlignment="1">
      <alignment horizontal="left" vertical="center" wrapText="1" indent="1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8" sqref="B18"/>
    </sheetView>
  </sheetViews>
  <sheetFormatPr defaultRowHeight="15" x14ac:dyDescent="0.25"/>
  <cols>
    <col min="1" max="1" width="12" customWidth="1"/>
    <col min="2" max="2" width="32.140625" customWidth="1"/>
    <col min="3" max="3" width="12.85546875" customWidth="1"/>
    <col min="4" max="4" width="30.140625" customWidth="1"/>
    <col min="5" max="5" width="31.28515625" customWidth="1"/>
    <col min="6" max="6" width="12.140625" customWidth="1"/>
  </cols>
  <sheetData>
    <row r="1" spans="1:6" s="51" customFormat="1" ht="18.75" x14ac:dyDescent="0.3">
      <c r="A1" s="50" t="s">
        <v>65</v>
      </c>
      <c r="B1" s="50" t="s">
        <v>0</v>
      </c>
      <c r="C1" s="50" t="s">
        <v>77</v>
      </c>
      <c r="D1" s="50" t="s">
        <v>66</v>
      </c>
      <c r="E1" s="50" t="s">
        <v>67</v>
      </c>
      <c r="F1" s="50"/>
    </row>
    <row r="2" spans="1:6" s="53" customFormat="1" ht="18.75" x14ac:dyDescent="0.3">
      <c r="A2" s="52"/>
      <c r="B2" s="50" t="s">
        <v>68</v>
      </c>
      <c r="C2" s="52"/>
      <c r="D2" s="52"/>
      <c r="E2" s="52"/>
      <c r="F2" s="52"/>
    </row>
    <row r="3" spans="1:6" s="53" customFormat="1" ht="18.75" x14ac:dyDescent="0.3">
      <c r="A3" s="54">
        <v>188</v>
      </c>
      <c r="B3" s="52" t="s">
        <v>54</v>
      </c>
      <c r="C3" s="54">
        <v>1</v>
      </c>
      <c r="D3" s="55" t="s">
        <v>27</v>
      </c>
      <c r="E3" s="55" t="s">
        <v>28</v>
      </c>
      <c r="F3" s="52"/>
    </row>
    <row r="4" spans="1:6" s="53" customFormat="1" ht="18.75" x14ac:dyDescent="0.3">
      <c r="A4" s="54">
        <v>167</v>
      </c>
      <c r="B4" s="52" t="s">
        <v>53</v>
      </c>
      <c r="C4" s="54">
        <v>4</v>
      </c>
      <c r="D4" s="55" t="s">
        <v>25</v>
      </c>
      <c r="E4" s="55" t="s">
        <v>26</v>
      </c>
      <c r="F4" s="52"/>
    </row>
    <row r="5" spans="1:6" s="53" customFormat="1" ht="18.75" x14ac:dyDescent="0.3">
      <c r="A5" s="54">
        <v>147</v>
      </c>
      <c r="B5" s="52" t="s">
        <v>52</v>
      </c>
      <c r="C5" s="54">
        <v>3</v>
      </c>
      <c r="D5" s="55" t="s">
        <v>23</v>
      </c>
      <c r="E5" s="55" t="s">
        <v>24</v>
      </c>
      <c r="F5" s="52"/>
    </row>
    <row r="6" spans="1:6" s="53" customFormat="1" ht="18.75" x14ac:dyDescent="0.3">
      <c r="A6" s="54">
        <v>125</v>
      </c>
      <c r="B6" s="52" t="s">
        <v>111</v>
      </c>
      <c r="C6" s="54">
        <v>2</v>
      </c>
      <c r="D6" s="55" t="s">
        <v>19</v>
      </c>
      <c r="E6" s="55" t="s">
        <v>20</v>
      </c>
      <c r="F6" s="52"/>
    </row>
    <row r="7" spans="1:6" s="53" customFormat="1" ht="18.75" x14ac:dyDescent="0.3">
      <c r="A7" s="54">
        <v>115</v>
      </c>
      <c r="B7" s="52" t="s">
        <v>50</v>
      </c>
      <c r="C7" s="54">
        <v>5</v>
      </c>
      <c r="D7" s="55" t="s">
        <v>17</v>
      </c>
      <c r="E7" s="55" t="s">
        <v>18</v>
      </c>
      <c r="F7" s="52"/>
    </row>
    <row r="8" spans="1:6" s="53" customFormat="1" ht="18.75" x14ac:dyDescent="0.3">
      <c r="A8" s="54">
        <v>108</v>
      </c>
      <c r="B8" s="52" t="s">
        <v>51</v>
      </c>
      <c r="C8" s="54">
        <v>6</v>
      </c>
      <c r="D8" s="55" t="s">
        <v>21</v>
      </c>
      <c r="E8" s="55" t="s">
        <v>22</v>
      </c>
      <c r="F8" s="52"/>
    </row>
    <row r="9" spans="1:6" s="53" customFormat="1" ht="18.75" x14ac:dyDescent="0.3">
      <c r="A9" s="54">
        <v>89</v>
      </c>
      <c r="B9" s="52" t="s">
        <v>57</v>
      </c>
      <c r="C9" s="54">
        <v>7</v>
      </c>
      <c r="D9" s="52" t="s">
        <v>33</v>
      </c>
      <c r="E9" s="52" t="s">
        <v>34</v>
      </c>
      <c r="F9" s="52"/>
    </row>
    <row r="10" spans="1:6" s="53" customFormat="1" ht="18.75" x14ac:dyDescent="0.3">
      <c r="A10" s="54">
        <v>44</v>
      </c>
      <c r="B10" s="52" t="s">
        <v>56</v>
      </c>
      <c r="C10" s="54">
        <v>8</v>
      </c>
      <c r="D10" s="52" t="s">
        <v>31</v>
      </c>
      <c r="E10" s="52" t="s">
        <v>32</v>
      </c>
      <c r="F10" s="52"/>
    </row>
    <row r="11" spans="1:6" s="53" customFormat="1" ht="18.75" x14ac:dyDescent="0.3">
      <c r="A11" s="54">
        <v>43</v>
      </c>
      <c r="B11" s="52" t="s">
        <v>59</v>
      </c>
      <c r="C11" s="54">
        <v>9</v>
      </c>
      <c r="D11" s="52" t="s">
        <v>37</v>
      </c>
      <c r="E11" s="52" t="s">
        <v>38</v>
      </c>
      <c r="F11" s="52"/>
    </row>
    <row r="12" spans="1:6" s="53" customFormat="1" ht="18.75" x14ac:dyDescent="0.3">
      <c r="A12" s="54">
        <v>21</v>
      </c>
      <c r="B12" s="52" t="s">
        <v>58</v>
      </c>
      <c r="C12" s="54">
        <v>10</v>
      </c>
      <c r="D12" s="52" t="s">
        <v>35</v>
      </c>
      <c r="E12" s="52" t="s">
        <v>36</v>
      </c>
      <c r="F12" s="52"/>
    </row>
    <row r="13" spans="1:6" s="53" customFormat="1" ht="18.75" x14ac:dyDescent="0.3">
      <c r="A13" s="54">
        <v>4</v>
      </c>
      <c r="B13" s="52" t="s">
        <v>55</v>
      </c>
      <c r="C13" s="54">
        <v>11</v>
      </c>
      <c r="D13" s="52" t="s">
        <v>29</v>
      </c>
      <c r="E13" s="52" t="s">
        <v>30</v>
      </c>
      <c r="F13" s="52"/>
    </row>
    <row r="14" spans="1:6" s="53" customFormat="1" ht="18.75" x14ac:dyDescent="0.3">
      <c r="A14" s="54"/>
      <c r="B14" s="50" t="s">
        <v>69</v>
      </c>
      <c r="C14" s="52"/>
      <c r="D14" s="52"/>
      <c r="E14" s="52"/>
      <c r="F14" s="52"/>
    </row>
    <row r="15" spans="1:6" s="53" customFormat="1" ht="18.75" x14ac:dyDescent="0.3">
      <c r="A15" s="54">
        <v>186</v>
      </c>
      <c r="B15" s="52" t="s">
        <v>60</v>
      </c>
      <c r="C15" s="54">
        <v>12</v>
      </c>
      <c r="D15" s="55" t="s">
        <v>39</v>
      </c>
      <c r="E15" s="55" t="s">
        <v>40</v>
      </c>
      <c r="F15" s="52"/>
    </row>
    <row r="16" spans="1:6" s="53" customFormat="1" ht="18.75" x14ac:dyDescent="0.3">
      <c r="A16" s="54">
        <v>160</v>
      </c>
      <c r="B16" s="52" t="s">
        <v>62</v>
      </c>
      <c r="C16" s="54">
        <v>13</v>
      </c>
      <c r="D16" s="55" t="s">
        <v>43</v>
      </c>
      <c r="E16" s="56" t="s">
        <v>44</v>
      </c>
      <c r="F16" s="52"/>
    </row>
    <row r="17" spans="1:6" s="53" customFormat="1" ht="18.75" x14ac:dyDescent="0.3">
      <c r="A17" s="54">
        <v>102</v>
      </c>
      <c r="B17" s="52" t="s">
        <v>61</v>
      </c>
      <c r="C17" s="54">
        <v>14</v>
      </c>
      <c r="D17" s="55" t="s">
        <v>41</v>
      </c>
      <c r="E17" s="55" t="s">
        <v>42</v>
      </c>
      <c r="F17" s="52"/>
    </row>
    <row r="18" spans="1:6" s="53" customFormat="1" ht="18.75" x14ac:dyDescent="0.3">
      <c r="A18" s="54">
        <v>84</v>
      </c>
      <c r="B18" s="52" t="s">
        <v>115</v>
      </c>
      <c r="C18" s="54">
        <v>15</v>
      </c>
      <c r="D18" s="52" t="s">
        <v>48</v>
      </c>
      <c r="E18" s="52" t="s">
        <v>49</v>
      </c>
      <c r="F18" s="52"/>
    </row>
    <row r="19" spans="1:6" s="53" customFormat="1" ht="18.75" x14ac:dyDescent="0.3">
      <c r="A19" s="54">
        <v>37</v>
      </c>
      <c r="B19" s="52" t="s">
        <v>63</v>
      </c>
      <c r="C19" s="54">
        <v>16</v>
      </c>
      <c r="D19" s="52" t="s">
        <v>45</v>
      </c>
      <c r="E19" s="52" t="s">
        <v>46</v>
      </c>
      <c r="F19" s="52"/>
    </row>
    <row r="20" spans="1:6" s="53" customFormat="1" ht="18.75" x14ac:dyDescent="0.3">
      <c r="A20" s="54">
        <v>7</v>
      </c>
      <c r="B20" s="52" t="s">
        <v>113</v>
      </c>
      <c r="C20" s="54">
        <v>17</v>
      </c>
      <c r="D20" s="52" t="s">
        <v>114</v>
      </c>
      <c r="E20" s="52" t="s">
        <v>47</v>
      </c>
      <c r="F20" s="52"/>
    </row>
    <row r="21" spans="1:6" ht="24.75" customHeight="1" x14ac:dyDescent="0.25">
      <c r="A21" s="49"/>
      <c r="B21" s="49"/>
      <c r="C21" s="49"/>
      <c r="D21" s="49"/>
      <c r="E21" s="49"/>
      <c r="F21" s="49"/>
    </row>
  </sheetData>
  <sortState ref="A15:F20">
    <sortCondition descending="1" ref="A15:A2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P8" sqref="P8"/>
    </sheetView>
  </sheetViews>
  <sheetFormatPr defaultRowHeight="15" x14ac:dyDescent="0.25"/>
  <cols>
    <col min="1" max="1" width="4" style="36" customWidth="1"/>
    <col min="2" max="12" width="10.28515625" customWidth="1"/>
    <col min="13" max="13" width="10.28515625" style="41" customWidth="1"/>
    <col min="14" max="15" width="10.28515625" customWidth="1"/>
  </cols>
  <sheetData>
    <row r="1" spans="1:14" ht="59.25" customHeight="1" x14ac:dyDescent="0.25">
      <c r="B1" s="66" t="s">
        <v>12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1:14" ht="15.75" thickBot="1" x14ac:dyDescent="0.3">
      <c r="M2"/>
    </row>
    <row r="3" spans="1:14" ht="30" customHeight="1" thickBot="1" x14ac:dyDescent="0.3">
      <c r="B3" s="35"/>
      <c r="C3" s="67" t="s">
        <v>0</v>
      </c>
      <c r="D3" s="68"/>
      <c r="E3" s="6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9" t="s">
        <v>1</v>
      </c>
      <c r="M3" s="1" t="s">
        <v>3</v>
      </c>
      <c r="N3" s="40" t="s">
        <v>2</v>
      </c>
    </row>
    <row r="4" spans="1:14" ht="24" customHeight="1" x14ac:dyDescent="0.25">
      <c r="A4" s="36" t="s">
        <v>64</v>
      </c>
      <c r="B4" s="70">
        <v>1</v>
      </c>
      <c r="C4" s="72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Баринова-Петрушко</v>
      </c>
      <c r="D4" s="73"/>
      <c r="E4" s="74"/>
      <c r="F4" s="8" t="s">
        <v>7</v>
      </c>
      <c r="G4" s="4" t="str">
        <f ca="1">INDIRECT(ADDRESS(27,6))&amp;":"&amp;INDIRECT(ADDRESS(27,7))</f>
        <v>6:10</v>
      </c>
      <c r="H4" s="4" t="str">
        <f ca="1">INDIRECT(ADDRESS(31,7))&amp;":"&amp;INDIRECT(ADDRESS(31,6))</f>
        <v>4:13</v>
      </c>
      <c r="I4" s="4" t="str">
        <f ca="1">INDIRECT(ADDRESS(36,6))&amp;":"&amp;INDIRECT(ADDRESS(36,7))</f>
        <v>7:8</v>
      </c>
      <c r="J4" s="4" t="str">
        <f ca="1">INDIRECT(ADDRESS(42,7))&amp;":"&amp;INDIRECT(ADDRESS(42,6))</f>
        <v>13:2</v>
      </c>
      <c r="K4" s="19" t="str">
        <f ca="1">INDIRECT(ADDRESS(20,6))&amp;":"&amp;INDIRECT(ADDRESS(20,7))</f>
        <v>4:9</v>
      </c>
      <c r="L4" s="86">
        <f ca="1">IF(COUNT(F5:K5)=0,"",COUNTIF(F5:K5,"&gt;0")+0.5*COUNTIF(F5:K5,0))</f>
        <v>1</v>
      </c>
      <c r="M4" s="22">
        <v>7</v>
      </c>
      <c r="N4" s="82">
        <v>4</v>
      </c>
    </row>
    <row r="5" spans="1:14" ht="24" customHeight="1" x14ac:dyDescent="0.25">
      <c r="A5" s="36">
        <v>1</v>
      </c>
      <c r="B5" s="71"/>
      <c r="C5" s="75"/>
      <c r="D5" s="76"/>
      <c r="E5" s="77"/>
      <c r="F5" s="12" t="s">
        <v>7</v>
      </c>
      <c r="G5" s="15">
        <f ca="1">IF(LEN(INDIRECT(ADDRESS(ROW()-1, COLUMN())))=1,"",INDIRECT(ADDRESS(27,6))-INDIRECT(ADDRESS(27,7)))</f>
        <v>-4</v>
      </c>
      <c r="H5" s="15">
        <f ca="1">IF(LEN(INDIRECT(ADDRESS(ROW()-1, COLUMN())))=1,"",INDIRECT(ADDRESS(31,7))-INDIRECT(ADDRESS(31,6)))</f>
        <v>-9</v>
      </c>
      <c r="I5" s="15">
        <f ca="1">IF(LEN(INDIRECT(ADDRESS(ROW()-1, COLUMN())))=1,"",INDIRECT(ADDRESS(36,6))-INDIRECT(ADDRESS(36,7)))</f>
        <v>-1</v>
      </c>
      <c r="J5" s="15">
        <f ca="1">IF(LEN(INDIRECT(ADDRESS(ROW()-1, COLUMN())))=1,"",INDIRECT(ADDRESS(42,7))-INDIRECT(ADDRESS(42,6)))</f>
        <v>11</v>
      </c>
      <c r="K5" s="16">
        <f ca="1">IF(LEN(INDIRECT(ADDRESS(ROW()-1, COLUMN())))=1,"",INDIRECT(ADDRESS(20,6))-INDIRECT(ADDRESS(20,7)))</f>
        <v>-5</v>
      </c>
      <c r="L5" s="84"/>
      <c r="M5" s="15">
        <f ca="1">IF(COUNT(F5:K5)=0,"",SUM(F5:K5))</f>
        <v>-8</v>
      </c>
      <c r="N5" s="83"/>
    </row>
    <row r="6" spans="1:14" ht="24" customHeight="1" x14ac:dyDescent="0.25">
      <c r="A6" s="36" t="s">
        <v>64</v>
      </c>
      <c r="B6" s="78">
        <v>2</v>
      </c>
      <c r="C6" s="75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Коппа-Лукьянова</v>
      </c>
      <c r="D6" s="76"/>
      <c r="E6" s="77"/>
      <c r="F6" s="10" t="str">
        <f ca="1">INDIRECT(ADDRESS(27,7))&amp;":"&amp;INDIRECT(ADDRESS(27,6))</f>
        <v>10:6</v>
      </c>
      <c r="G6" s="6" t="s">
        <v>7</v>
      </c>
      <c r="H6" s="5" t="str">
        <f ca="1">INDIRECT(ADDRESS(37,6))&amp;":"&amp;INDIRECT(ADDRESS(37,7))</f>
        <v>7:11</v>
      </c>
      <c r="I6" s="5" t="str">
        <f ca="1">INDIRECT(ADDRESS(41,7))&amp;":"&amp;INDIRECT(ADDRESS(41,6))</f>
        <v>2:10</v>
      </c>
      <c r="J6" s="5" t="str">
        <f ca="1">INDIRECT(ADDRESS(21,6))&amp;":"&amp;INDIRECT(ADDRESS(21,7))</f>
        <v>8:9</v>
      </c>
      <c r="K6" s="9" t="str">
        <f ca="1">INDIRECT(ADDRESS(30,6))&amp;":"&amp;INDIRECT(ADDRESS(30,7))</f>
        <v>3:12</v>
      </c>
      <c r="L6" s="84">
        <f ca="1">IF(COUNT(F7:K7)=0,"",COUNTIF(F7:K7,"&gt;0")+0.5*COUNTIF(F7:K7,0))</f>
        <v>1</v>
      </c>
      <c r="M6" s="15">
        <v>3</v>
      </c>
      <c r="N6" s="85">
        <v>5</v>
      </c>
    </row>
    <row r="7" spans="1:14" ht="24" customHeight="1" x14ac:dyDescent="0.25">
      <c r="A7" s="36">
        <v>3</v>
      </c>
      <c r="B7" s="71"/>
      <c r="C7" s="75"/>
      <c r="D7" s="76"/>
      <c r="E7" s="77"/>
      <c r="F7" s="21">
        <f ca="1">IF(LEN(INDIRECT(ADDRESS(ROW()-1, COLUMN())))=1,"",INDIRECT(ADDRESS(27,7))-INDIRECT(ADDRESS(27,6)))</f>
        <v>4</v>
      </c>
      <c r="G7" s="13" t="s">
        <v>7</v>
      </c>
      <c r="H7" s="15">
        <f ca="1">IF(LEN(INDIRECT(ADDRESS(ROW()-1, COLUMN())))=1,"",INDIRECT(ADDRESS(37,6))-INDIRECT(ADDRESS(37,7)))</f>
        <v>-4</v>
      </c>
      <c r="I7" s="15">
        <f ca="1">IF(LEN(INDIRECT(ADDRESS(ROW()-1, COLUMN())))=1,"",INDIRECT(ADDRESS(41,7))-INDIRECT(ADDRESS(41,6)))</f>
        <v>-8</v>
      </c>
      <c r="J7" s="15">
        <f ca="1">IF(LEN(INDIRECT(ADDRESS(ROW()-1, COLUMN())))=1,"",INDIRECT(ADDRESS(21,6))-INDIRECT(ADDRESS(21,7)))</f>
        <v>-1</v>
      </c>
      <c r="K7" s="16">
        <f ca="1">IF(LEN(INDIRECT(ADDRESS(ROW()-1, COLUMN())))=1,"",INDIRECT(ADDRESS(30,6))-INDIRECT(ADDRESS(30,7)))</f>
        <v>-9</v>
      </c>
      <c r="L7" s="84"/>
      <c r="M7" s="15">
        <f ca="1">IF(COUNT(F7:K7)=0,"",SUM(F7:K7))</f>
        <v>-18</v>
      </c>
      <c r="N7" s="83"/>
    </row>
    <row r="8" spans="1:14" ht="24" customHeight="1" x14ac:dyDescent="0.25">
      <c r="A8" s="36" t="s">
        <v>64</v>
      </c>
      <c r="B8" s="78">
        <v>3</v>
      </c>
      <c r="C8" s="79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Павлова-Соколова</v>
      </c>
      <c r="D8" s="80"/>
      <c r="E8" s="81"/>
      <c r="F8" s="10" t="str">
        <f ca="1">INDIRECT(ADDRESS(31,6))&amp;":"&amp;INDIRECT(ADDRESS(31,7))</f>
        <v>13:4</v>
      </c>
      <c r="G8" s="5" t="str">
        <f ca="1">INDIRECT(ADDRESS(37,7))&amp;":"&amp;INDIRECT(ADDRESS(37,6))</f>
        <v>11:7</v>
      </c>
      <c r="H8" s="6" t="s">
        <v>7</v>
      </c>
      <c r="I8" s="5" t="str">
        <f ca="1">INDIRECT(ADDRESS(22,6))&amp;":"&amp;INDIRECT(ADDRESS(22,7))</f>
        <v>6:3</v>
      </c>
      <c r="J8" s="5" t="str">
        <f ca="1">INDIRECT(ADDRESS(26,7))&amp;":"&amp;INDIRECT(ADDRESS(26,6))</f>
        <v>7:5</v>
      </c>
      <c r="K8" s="9" t="str">
        <f ca="1">INDIRECT(ADDRESS(40,6))&amp;":"&amp;INDIRECT(ADDRESS(40,7))</f>
        <v>6:13</v>
      </c>
      <c r="L8" s="84">
        <f ca="1">IF(COUNT(F9:K9)=0,"",COUNTIF(F9:K9,"&gt;0")+0.5*COUNTIF(F9:K9,0))</f>
        <v>4</v>
      </c>
      <c r="M8" s="15"/>
      <c r="N8" s="85">
        <v>2</v>
      </c>
    </row>
    <row r="9" spans="1:14" ht="24" customHeight="1" x14ac:dyDescent="0.25">
      <c r="A9" s="36">
        <v>5</v>
      </c>
      <c r="B9" s="71"/>
      <c r="C9" s="79"/>
      <c r="D9" s="80"/>
      <c r="E9" s="81"/>
      <c r="F9" s="21">
        <f ca="1">IF(LEN(INDIRECT(ADDRESS(ROW()-1, COLUMN())))=1,"",INDIRECT(ADDRESS(31,6))-INDIRECT(ADDRESS(31,7)))</f>
        <v>9</v>
      </c>
      <c r="G9" s="15">
        <f ca="1">IF(LEN(INDIRECT(ADDRESS(ROW()-1, COLUMN())))=1,"",INDIRECT(ADDRESS(37,7))-INDIRECT(ADDRESS(37,6)))</f>
        <v>4</v>
      </c>
      <c r="H9" s="13" t="s">
        <v>7</v>
      </c>
      <c r="I9" s="15">
        <f ca="1">IF(LEN(INDIRECT(ADDRESS(ROW()-1, COLUMN())))=1,"",INDIRECT(ADDRESS(22,6))-INDIRECT(ADDRESS(22,7)))</f>
        <v>3</v>
      </c>
      <c r="J9" s="15">
        <f ca="1">IF(LEN(INDIRECT(ADDRESS(ROW()-1, COLUMN())))=1,"",INDIRECT(ADDRESS(26,7))-INDIRECT(ADDRESS(26,6)))</f>
        <v>2</v>
      </c>
      <c r="K9" s="16">
        <f ca="1">IF(LEN(INDIRECT(ADDRESS(ROW()-1, COLUMN())))=1,"",INDIRECT(ADDRESS(40,6))-INDIRECT(ADDRESS(40,7)))</f>
        <v>-7</v>
      </c>
      <c r="L9" s="84"/>
      <c r="M9" s="15">
        <f ca="1">IF(COUNT(F9:K9)=0,"",SUM(F9:K9))</f>
        <v>11</v>
      </c>
      <c r="N9" s="83"/>
    </row>
    <row r="10" spans="1:14" ht="24" customHeight="1" x14ac:dyDescent="0.25">
      <c r="A10" s="36" t="s">
        <v>64</v>
      </c>
      <c r="B10" s="78">
        <v>4</v>
      </c>
      <c r="C10" s="79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Березнеговская-Кузнецова</v>
      </c>
      <c r="D10" s="80"/>
      <c r="E10" s="81"/>
      <c r="F10" s="10" t="str">
        <f ca="1">INDIRECT(ADDRESS(36,7))&amp;":"&amp;INDIRECT(ADDRESS(36,6))</f>
        <v>8:7</v>
      </c>
      <c r="G10" s="5" t="str">
        <f ca="1">INDIRECT(ADDRESS(41,6))&amp;":"&amp;INDIRECT(ADDRESS(41,7))</f>
        <v>10:2</v>
      </c>
      <c r="H10" s="5" t="str">
        <f ca="1">INDIRECT(ADDRESS(22,7))&amp;":"&amp;INDIRECT(ADDRESS(22,6))</f>
        <v>3:6</v>
      </c>
      <c r="I10" s="6" t="s">
        <v>7</v>
      </c>
      <c r="J10" s="5" t="str">
        <f ca="1">INDIRECT(ADDRESS(32,6))&amp;":"&amp;INDIRECT(ADDRESS(32,7))</f>
        <v>11:9</v>
      </c>
      <c r="K10" s="9" t="str">
        <f ca="1">INDIRECT(ADDRESS(25,7))&amp;":"&amp;INDIRECT(ADDRESS(25,6))</f>
        <v>3:6</v>
      </c>
      <c r="L10" s="84">
        <f ca="1">IF(COUNT(F11:K11)=0,"",COUNTIF(F11:K11,"&gt;0")+0.5*COUNTIF(F11:K11,0))</f>
        <v>3</v>
      </c>
      <c r="M10" s="15"/>
      <c r="N10" s="85">
        <v>3</v>
      </c>
    </row>
    <row r="11" spans="1:14" ht="24" customHeight="1" x14ac:dyDescent="0.25">
      <c r="A11" s="36">
        <v>7</v>
      </c>
      <c r="B11" s="71"/>
      <c r="C11" s="79"/>
      <c r="D11" s="80"/>
      <c r="E11" s="81"/>
      <c r="F11" s="21">
        <f ca="1">IF(LEN(INDIRECT(ADDRESS(ROW()-1, COLUMN())))=1,"",INDIRECT(ADDRESS(36,7))-INDIRECT(ADDRESS(36,6)))</f>
        <v>1</v>
      </c>
      <c r="G11" s="15">
        <f ca="1">IF(LEN(INDIRECT(ADDRESS(ROW()-1, COLUMN())))=1,"",INDIRECT(ADDRESS(41,6))-INDIRECT(ADDRESS(41,7)))</f>
        <v>8</v>
      </c>
      <c r="H11" s="15">
        <f ca="1">IF(LEN(INDIRECT(ADDRESS(ROW()-1, COLUMN())))=1,"",INDIRECT(ADDRESS(22,7))-INDIRECT(ADDRESS(22,6)))</f>
        <v>-3</v>
      </c>
      <c r="I11" s="13" t="s">
        <v>7</v>
      </c>
      <c r="J11" s="15">
        <f ca="1">IF(LEN(INDIRECT(ADDRESS(ROW()-1, COLUMN())))=1,"",INDIRECT(ADDRESS(32,6))-INDIRECT(ADDRESS(32,7)))</f>
        <v>2</v>
      </c>
      <c r="K11" s="16">
        <f ca="1">IF(LEN(INDIRECT(ADDRESS(ROW()-1, COLUMN())))=1,"",INDIRECT(ADDRESS(25,7))-INDIRECT(ADDRESS(25,6)))</f>
        <v>-3</v>
      </c>
      <c r="L11" s="84"/>
      <c r="M11" s="15">
        <f ca="1">IF(COUNT(F11:K11)=0,"",SUM(F11:K11))</f>
        <v>5</v>
      </c>
      <c r="N11" s="83"/>
    </row>
    <row r="12" spans="1:14" ht="24" customHeight="1" x14ac:dyDescent="0.25">
      <c r="A12" s="36" t="s">
        <v>64</v>
      </c>
      <c r="B12" s="78">
        <v>5</v>
      </c>
      <c r="C12" s="75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Карепова-Таратина</v>
      </c>
      <c r="D12" s="76"/>
      <c r="E12" s="77"/>
      <c r="F12" s="10" t="str">
        <f ca="1">INDIRECT(ADDRESS(42,6))&amp;":"&amp;INDIRECT(ADDRESS(42,7))</f>
        <v>2:13</v>
      </c>
      <c r="G12" s="5" t="str">
        <f ca="1">INDIRECT(ADDRESS(21,7))&amp;":"&amp;INDIRECT(ADDRESS(21,6))</f>
        <v>9:8</v>
      </c>
      <c r="H12" s="5" t="str">
        <f ca="1">INDIRECT(ADDRESS(26,6))&amp;":"&amp;INDIRECT(ADDRESS(26,7))</f>
        <v>5:7</v>
      </c>
      <c r="I12" s="5" t="str">
        <f ca="1">INDIRECT(ADDRESS(32,7))&amp;":"&amp;INDIRECT(ADDRESS(32,6))</f>
        <v>9:11</v>
      </c>
      <c r="J12" s="6" t="s">
        <v>7</v>
      </c>
      <c r="K12" s="9" t="str">
        <f ca="1">INDIRECT(ADDRESS(35,7))&amp;":"&amp;INDIRECT(ADDRESS(35,6))</f>
        <v>8:11</v>
      </c>
      <c r="L12" s="84">
        <f ca="1">IF(COUNT(F13:K13)=0,"",COUNTIF(F13:K13,"&gt;0")+0.5*COUNTIF(F13:K13,0))</f>
        <v>1</v>
      </c>
      <c r="M12" s="15">
        <v>-10</v>
      </c>
      <c r="N12" s="85">
        <v>6</v>
      </c>
    </row>
    <row r="13" spans="1:14" ht="24" customHeight="1" x14ac:dyDescent="0.25">
      <c r="A13" s="36">
        <v>9</v>
      </c>
      <c r="B13" s="71"/>
      <c r="C13" s="75"/>
      <c r="D13" s="76"/>
      <c r="E13" s="77"/>
      <c r="F13" s="21">
        <f ca="1">IF(LEN(INDIRECT(ADDRESS(ROW()-1, COLUMN())))=1,"",INDIRECT(ADDRESS(42,6))-INDIRECT(ADDRESS(42,7)))</f>
        <v>-11</v>
      </c>
      <c r="G13" s="15">
        <f ca="1">IF(LEN(INDIRECT(ADDRESS(ROW()-1, COLUMN())))=1,"",INDIRECT(ADDRESS(21,7))-INDIRECT(ADDRESS(21,6)))</f>
        <v>1</v>
      </c>
      <c r="H13" s="15">
        <f ca="1">IF(LEN(INDIRECT(ADDRESS(ROW()-1, COLUMN())))=1,"",INDIRECT(ADDRESS(26,6))-INDIRECT(ADDRESS(26,7)))</f>
        <v>-2</v>
      </c>
      <c r="I13" s="15">
        <f ca="1">IF(LEN(INDIRECT(ADDRESS(ROW()-1, COLUMN())))=1,"",INDIRECT(ADDRESS(32,7))-INDIRECT(ADDRESS(32,6)))</f>
        <v>-2</v>
      </c>
      <c r="J13" s="13" t="s">
        <v>7</v>
      </c>
      <c r="K13" s="16">
        <f ca="1">IF(LEN(INDIRECT(ADDRESS(ROW()-1, COLUMN())))=1,"",INDIRECT(ADDRESS(35,7))-INDIRECT(ADDRESS(35,6)))</f>
        <v>-3</v>
      </c>
      <c r="L13" s="84"/>
      <c r="M13" s="15">
        <f ca="1">IF(COUNT(F13:K13)=0,"",SUM(F13:K13))</f>
        <v>-17</v>
      </c>
      <c r="N13" s="83"/>
    </row>
    <row r="14" spans="1:14" ht="24" customHeight="1" x14ac:dyDescent="0.25">
      <c r="A14" s="36" t="s">
        <v>64</v>
      </c>
      <c r="B14" s="78">
        <v>6</v>
      </c>
      <c r="C14" s="79" t="str">
        <f ca="1">IF(LEFT(A14,1)="X",IFERROR(INDIRECT(ADDRESS(MATCH(A15,OFFSET(INDIRECT(ADDRESS(1,3,,,A14)),0,0,200,1),0),2,,,A14)),""),IFERROR(INDIRECT(ADDRESS(MATCH(A15,OFFSET(INDIRECT(ADDRESS(3,2,,,A14)),1,6+MAX(OFFSET(INDIRECT(ADDRESS(3,2,,,A14)),0,0,1,20)),2*MAX(OFFSET(INDIRECT(ADDRESS(3,2,,,A14)),0,0,1,20)),1),0)+3,3,,,A14)),""))</f>
        <v>Елсакова-Зимина</v>
      </c>
      <c r="D14" s="80"/>
      <c r="E14" s="81"/>
      <c r="F14" s="10" t="str">
        <f ca="1">INDIRECT(ADDRESS(20,7))&amp;":"&amp;INDIRECT(ADDRESS(20,6))</f>
        <v>9:4</v>
      </c>
      <c r="G14" s="5" t="str">
        <f ca="1">INDIRECT(ADDRESS(30,7))&amp;":"&amp;INDIRECT(ADDRESS(30,6))</f>
        <v>12:3</v>
      </c>
      <c r="H14" s="5" t="str">
        <f ca="1">INDIRECT(ADDRESS(40,7))&amp;":"&amp;INDIRECT(ADDRESS(40,6))</f>
        <v>13:6</v>
      </c>
      <c r="I14" s="5" t="str">
        <f ca="1">INDIRECT(ADDRESS(25,6))&amp;":"&amp;INDIRECT(ADDRESS(25,7))</f>
        <v>6:3</v>
      </c>
      <c r="J14" s="5" t="str">
        <f ca="1">INDIRECT(ADDRESS(35,6))&amp;":"&amp;INDIRECT(ADDRESS(35,7))</f>
        <v>11:8</v>
      </c>
      <c r="K14" s="11" t="s">
        <v>7</v>
      </c>
      <c r="L14" s="84">
        <f ca="1">IF(COUNT(F15:K15)=0,"",COUNTIF(F15:K15,"&gt;0")+0.5*COUNTIF(F15:K15,0))</f>
        <v>5</v>
      </c>
      <c r="M14" s="15"/>
      <c r="N14" s="85">
        <v>1</v>
      </c>
    </row>
    <row r="15" spans="1:14" ht="24" customHeight="1" thickBot="1" x14ac:dyDescent="0.3">
      <c r="A15" s="36">
        <v>11</v>
      </c>
      <c r="B15" s="87"/>
      <c r="C15" s="88"/>
      <c r="D15" s="89"/>
      <c r="E15" s="90"/>
      <c r="F15" s="18">
        <f ca="1">IF(LEN(INDIRECT(ADDRESS(ROW()-1, COLUMN())))=1,"",INDIRECT(ADDRESS(20,7))-INDIRECT(ADDRESS(20,6)))</f>
        <v>5</v>
      </c>
      <c r="G15" s="17">
        <f ca="1">IF(LEN(INDIRECT(ADDRESS(ROW()-1, COLUMN())))=1,"",INDIRECT(ADDRESS(30,7))-INDIRECT(ADDRESS(30,6)))</f>
        <v>9</v>
      </c>
      <c r="H15" s="17">
        <f ca="1">IF(LEN(INDIRECT(ADDRESS(ROW()-1, COLUMN())))=1,"",INDIRECT(ADDRESS(40,7))-INDIRECT(ADDRESS(40,6)))</f>
        <v>7</v>
      </c>
      <c r="I15" s="17">
        <f ca="1">IF(LEN(INDIRECT(ADDRESS(ROW()-1, COLUMN())))=1,"",INDIRECT(ADDRESS(25,6))-INDIRECT(ADDRESS(25,7)))</f>
        <v>3</v>
      </c>
      <c r="J15" s="17">
        <f ca="1">IF(LEN(INDIRECT(ADDRESS(ROW()-1, COLUMN())))=1,"",INDIRECT(ADDRESS(35,6))-INDIRECT(ADDRESS(35,7)))</f>
        <v>3</v>
      </c>
      <c r="K15" s="14" t="s">
        <v>7</v>
      </c>
      <c r="L15" s="91"/>
      <c r="M15" s="17">
        <f ca="1">IF(COUNT(F15:K15)=0,"",SUM(F15:K15))</f>
        <v>27</v>
      </c>
      <c r="N15" s="92"/>
    </row>
    <row r="16" spans="1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62" t="s">
        <v>4</v>
      </c>
      <c r="C19" s="62"/>
      <c r="D19" s="62"/>
      <c r="E19" s="62"/>
      <c r="F19" s="62"/>
      <c r="G19" s="62"/>
      <c r="H19" s="62"/>
      <c r="I19" s="62"/>
      <c r="J19" s="62"/>
      <c r="K19" s="62"/>
      <c r="M19"/>
    </row>
    <row r="20" spans="2:13" ht="30" customHeight="1" thickBot="1" x14ac:dyDescent="0.4">
      <c r="B20" s="3">
        <v>1</v>
      </c>
      <c r="C20" s="63" t="str">
        <f ca="1">IF(ISBLANK(INDIRECT(ADDRESS(B20*2+2,3))),"",INDIRECT(ADDRESS(B20*2+2,3)))</f>
        <v>Баринова-Петрушко</v>
      </c>
      <c r="D20" s="63"/>
      <c r="E20" s="64"/>
      <c r="F20" s="47">
        <v>4</v>
      </c>
      <c r="G20" s="48">
        <v>9</v>
      </c>
      <c r="H20" s="65" t="str">
        <f ca="1">IF(ISBLANK(INDIRECT(ADDRESS(K20*2+2,3))),"",INDIRECT(ADDRESS(K20*2+2,3)))</f>
        <v>Елсакова-Зимина</v>
      </c>
      <c r="I20" s="63"/>
      <c r="J20" s="63"/>
      <c r="K20" s="3">
        <v>6</v>
      </c>
      <c r="L20" s="30" t="s">
        <v>11</v>
      </c>
      <c r="M20" s="42">
        <v>1</v>
      </c>
    </row>
    <row r="21" spans="2:13" ht="30" customHeight="1" thickBot="1" x14ac:dyDescent="0.4">
      <c r="B21" s="3">
        <v>2</v>
      </c>
      <c r="C21" s="63" t="str">
        <f ca="1">IF(ISBLANK(INDIRECT(ADDRESS(B21*2+2,3))),"",INDIRECT(ADDRESS(B21*2+2,3)))</f>
        <v>Коппа-Лукьянова</v>
      </c>
      <c r="D21" s="63"/>
      <c r="E21" s="64"/>
      <c r="F21" s="47">
        <v>8</v>
      </c>
      <c r="G21" s="48">
        <v>9</v>
      </c>
      <c r="H21" s="65" t="str">
        <f ca="1">IF(ISBLANK(INDIRECT(ADDRESS(K21*2+2,3))),"",INDIRECT(ADDRESS(K21*2+2,3)))</f>
        <v>Карепова-Таратина</v>
      </c>
      <c r="I21" s="63"/>
      <c r="J21" s="63"/>
      <c r="K21" s="3">
        <v>5</v>
      </c>
      <c r="L21" s="30" t="s">
        <v>11</v>
      </c>
      <c r="M21" s="42">
        <v>2</v>
      </c>
    </row>
    <row r="22" spans="2:13" ht="30" customHeight="1" thickBot="1" x14ac:dyDescent="0.4">
      <c r="B22" s="3">
        <v>3</v>
      </c>
      <c r="C22" s="63" t="str">
        <f ca="1">IF(ISBLANK(INDIRECT(ADDRESS(B22*2+2,3))),"",INDIRECT(ADDRESS(B22*2+2,3)))</f>
        <v>Павлова-Соколова</v>
      </c>
      <c r="D22" s="63"/>
      <c r="E22" s="64"/>
      <c r="F22" s="47">
        <v>6</v>
      </c>
      <c r="G22" s="48">
        <v>3</v>
      </c>
      <c r="H22" s="65" t="str">
        <f ca="1">IF(ISBLANK(INDIRECT(ADDRESS(K22*2+2,3))),"",INDIRECT(ADDRESS(K22*2+2,3)))</f>
        <v>Березнеговская-Кузнецова</v>
      </c>
      <c r="I22" s="63"/>
      <c r="J22" s="63"/>
      <c r="K22" s="3">
        <v>4</v>
      </c>
      <c r="L22" s="30" t="s">
        <v>11</v>
      </c>
      <c r="M22" s="42">
        <v>3</v>
      </c>
    </row>
    <row r="23" spans="2:13" ht="30" customHeight="1" x14ac:dyDescent="0.35">
      <c r="M23" s="46"/>
    </row>
    <row r="24" spans="2:13" ht="30" customHeight="1" thickBot="1" x14ac:dyDescent="0.4">
      <c r="B24" s="62" t="s">
        <v>5</v>
      </c>
      <c r="C24" s="62"/>
      <c r="D24" s="62"/>
      <c r="E24" s="62"/>
      <c r="F24" s="62"/>
      <c r="G24" s="62"/>
      <c r="H24" s="62"/>
      <c r="I24" s="62"/>
      <c r="J24" s="62"/>
      <c r="K24" s="62"/>
      <c r="M24" s="46"/>
    </row>
    <row r="25" spans="2:13" ht="30" customHeight="1" thickBot="1" x14ac:dyDescent="0.4">
      <c r="B25" s="3">
        <v>6</v>
      </c>
      <c r="C25" s="63" t="str">
        <f ca="1">IF(ISBLANK(INDIRECT(ADDRESS(B25*2+2,3))),"",INDIRECT(ADDRESS(B25*2+2,3)))</f>
        <v>Елсакова-Зимина</v>
      </c>
      <c r="D25" s="63"/>
      <c r="E25" s="64"/>
      <c r="F25" s="47">
        <v>6</v>
      </c>
      <c r="G25" s="48">
        <v>3</v>
      </c>
      <c r="H25" s="65" t="str">
        <f ca="1">IF(ISBLANK(INDIRECT(ADDRESS(K25*2+2,3))),"",INDIRECT(ADDRESS(K25*2+2,3)))</f>
        <v>Березнеговская-Кузнецова</v>
      </c>
      <c r="I25" s="63"/>
      <c r="J25" s="63"/>
      <c r="K25" s="3">
        <v>4</v>
      </c>
      <c r="L25" s="30" t="s">
        <v>11</v>
      </c>
      <c r="M25" s="42">
        <v>4</v>
      </c>
    </row>
    <row r="26" spans="2:13" ht="30" customHeight="1" thickBot="1" x14ac:dyDescent="0.4">
      <c r="B26" s="3">
        <v>5</v>
      </c>
      <c r="C26" s="63" t="str">
        <f ca="1">IF(ISBLANK(INDIRECT(ADDRESS(B26*2+2,3))),"",INDIRECT(ADDRESS(B26*2+2,3)))</f>
        <v>Карепова-Таратина</v>
      </c>
      <c r="D26" s="63"/>
      <c r="E26" s="64"/>
      <c r="F26" s="47">
        <v>5</v>
      </c>
      <c r="G26" s="48">
        <v>7</v>
      </c>
      <c r="H26" s="65" t="str">
        <f ca="1">IF(ISBLANK(INDIRECT(ADDRESS(K26*2+2,3))),"",INDIRECT(ADDRESS(K26*2+2,3)))</f>
        <v>Павлова-Соколова</v>
      </c>
      <c r="I26" s="63"/>
      <c r="J26" s="63"/>
      <c r="K26" s="3">
        <v>3</v>
      </c>
      <c r="L26" s="30" t="s">
        <v>11</v>
      </c>
      <c r="M26" s="42">
        <v>5</v>
      </c>
    </row>
    <row r="27" spans="2:13" ht="30" customHeight="1" thickBot="1" x14ac:dyDescent="0.4">
      <c r="B27" s="3">
        <v>1</v>
      </c>
      <c r="C27" s="63" t="str">
        <f ca="1">IF(ISBLANK(INDIRECT(ADDRESS(B27*2+2,3))),"",INDIRECT(ADDRESS(B27*2+2,3)))</f>
        <v>Баринова-Петрушко</v>
      </c>
      <c r="D27" s="63"/>
      <c r="E27" s="64"/>
      <c r="F27" s="47">
        <v>6</v>
      </c>
      <c r="G27" s="48">
        <v>10</v>
      </c>
      <c r="H27" s="65" t="str">
        <f ca="1">IF(ISBLANK(INDIRECT(ADDRESS(K27*2+2,3))),"",INDIRECT(ADDRESS(K27*2+2,3)))</f>
        <v>Коппа-Лукьянова</v>
      </c>
      <c r="I27" s="63"/>
      <c r="J27" s="63"/>
      <c r="K27" s="3">
        <v>2</v>
      </c>
      <c r="L27" s="30" t="s">
        <v>11</v>
      </c>
      <c r="M27" s="42">
        <v>6</v>
      </c>
    </row>
    <row r="28" spans="2:13" ht="30" customHeight="1" x14ac:dyDescent="0.35">
      <c r="M28" s="46"/>
    </row>
    <row r="29" spans="2:13" ht="30" customHeight="1" thickBot="1" x14ac:dyDescent="0.4"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M29" s="46"/>
    </row>
    <row r="30" spans="2:13" ht="30" customHeight="1" thickBot="1" x14ac:dyDescent="0.4">
      <c r="B30" s="3">
        <v>2</v>
      </c>
      <c r="C30" s="63" t="str">
        <f ca="1">IF(ISBLANK(INDIRECT(ADDRESS(B30*2+2,3))),"",INDIRECT(ADDRESS(B30*2+2,3)))</f>
        <v>Коппа-Лукьянова</v>
      </c>
      <c r="D30" s="63"/>
      <c r="E30" s="64"/>
      <c r="F30" s="47">
        <v>3</v>
      </c>
      <c r="G30" s="48">
        <v>12</v>
      </c>
      <c r="H30" s="65" t="str">
        <f ca="1">IF(ISBLANK(INDIRECT(ADDRESS(K30*2+2,3))),"",INDIRECT(ADDRESS(K30*2+2,3)))</f>
        <v>Елсакова-Зимина</v>
      </c>
      <c r="I30" s="63"/>
      <c r="J30" s="63"/>
      <c r="K30" s="3">
        <v>6</v>
      </c>
      <c r="L30" s="30" t="s">
        <v>11</v>
      </c>
      <c r="M30" s="42">
        <v>3</v>
      </c>
    </row>
    <row r="31" spans="2:13" ht="30" customHeight="1" thickBot="1" x14ac:dyDescent="0.4">
      <c r="B31" s="3">
        <v>3</v>
      </c>
      <c r="C31" s="63" t="str">
        <f ca="1">IF(ISBLANK(INDIRECT(ADDRESS(B31*2+2,3))),"",INDIRECT(ADDRESS(B31*2+2,3)))</f>
        <v>Павлова-Соколова</v>
      </c>
      <c r="D31" s="63"/>
      <c r="E31" s="64"/>
      <c r="F31" s="47">
        <v>13</v>
      </c>
      <c r="G31" s="48">
        <v>4</v>
      </c>
      <c r="H31" s="65" t="str">
        <f ca="1">IF(ISBLANK(INDIRECT(ADDRESS(K31*2+2,3))),"",INDIRECT(ADDRESS(K31*2+2,3)))</f>
        <v>Баринова-Петрушко</v>
      </c>
      <c r="I31" s="63"/>
      <c r="J31" s="63"/>
      <c r="K31" s="3">
        <v>1</v>
      </c>
      <c r="L31" s="30" t="s">
        <v>11</v>
      </c>
      <c r="M31" s="42">
        <v>2</v>
      </c>
    </row>
    <row r="32" spans="2:13" ht="30" customHeight="1" thickBot="1" x14ac:dyDescent="0.4">
      <c r="B32" s="3">
        <v>4</v>
      </c>
      <c r="C32" s="93" t="str">
        <f ca="1">IF(ISBLANK(INDIRECT(ADDRESS(B32*2+2,3))),"",INDIRECT(ADDRESS(B32*2+2,3)))</f>
        <v>Березнеговская-Кузнецова</v>
      </c>
      <c r="D32" s="93"/>
      <c r="E32" s="94"/>
      <c r="F32" s="47">
        <v>11</v>
      </c>
      <c r="G32" s="48">
        <v>9</v>
      </c>
      <c r="H32" s="65" t="str">
        <f ca="1">IF(ISBLANK(INDIRECT(ADDRESS(K32*2+2,3))),"",INDIRECT(ADDRESS(K32*2+2,3)))</f>
        <v>Карепова-Таратина</v>
      </c>
      <c r="I32" s="63"/>
      <c r="J32" s="63"/>
      <c r="K32" s="3">
        <v>5</v>
      </c>
      <c r="L32" s="30" t="s">
        <v>11</v>
      </c>
      <c r="M32" s="42">
        <v>1</v>
      </c>
    </row>
    <row r="33" spans="2:13" ht="30" customHeight="1" x14ac:dyDescent="0.35">
      <c r="M33" s="46"/>
    </row>
    <row r="34" spans="2:13" ht="30" customHeight="1" thickBot="1" x14ac:dyDescent="0.4">
      <c r="B34" s="62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M34" s="46"/>
    </row>
    <row r="35" spans="2:13" ht="30" customHeight="1" thickBot="1" x14ac:dyDescent="0.4">
      <c r="B35" s="3">
        <v>6</v>
      </c>
      <c r="C35" s="63" t="str">
        <f ca="1">IF(ISBLANK(INDIRECT(ADDRESS(B35*2+2,3))),"",INDIRECT(ADDRESS(B35*2+2,3)))</f>
        <v>Елсакова-Зимина</v>
      </c>
      <c r="D35" s="63"/>
      <c r="E35" s="64"/>
      <c r="F35" s="47">
        <v>11</v>
      </c>
      <c r="G35" s="48">
        <v>8</v>
      </c>
      <c r="H35" s="65" t="str">
        <f ca="1">IF(ISBLANK(INDIRECT(ADDRESS(K35*2+2,3))),"",INDIRECT(ADDRESS(K35*2+2,3)))</f>
        <v>Карепова-Таратина</v>
      </c>
      <c r="I35" s="63"/>
      <c r="J35" s="63"/>
      <c r="K35" s="3">
        <v>5</v>
      </c>
      <c r="L35" s="30" t="s">
        <v>11</v>
      </c>
      <c r="M35" s="42">
        <v>6</v>
      </c>
    </row>
    <row r="36" spans="2:13" ht="30" customHeight="1" thickBot="1" x14ac:dyDescent="0.4">
      <c r="B36" s="3">
        <v>1</v>
      </c>
      <c r="C36" s="63" t="str">
        <f ca="1">IF(ISBLANK(INDIRECT(ADDRESS(B36*2+2,3))),"",INDIRECT(ADDRESS(B36*2+2,3)))</f>
        <v>Баринова-Петрушко</v>
      </c>
      <c r="D36" s="63"/>
      <c r="E36" s="64"/>
      <c r="F36" s="47">
        <v>7</v>
      </c>
      <c r="G36" s="48">
        <v>8</v>
      </c>
      <c r="H36" s="95" t="str">
        <f ca="1">IF(ISBLANK(INDIRECT(ADDRESS(K36*2+2,3))),"",INDIRECT(ADDRESS(K36*2+2,3)))</f>
        <v>Березнеговская-Кузнецова</v>
      </c>
      <c r="I36" s="93"/>
      <c r="J36" s="93"/>
      <c r="K36" s="3">
        <v>4</v>
      </c>
      <c r="L36" s="30" t="s">
        <v>11</v>
      </c>
      <c r="M36" s="42">
        <v>5</v>
      </c>
    </row>
    <row r="37" spans="2:13" ht="30" customHeight="1" thickBot="1" x14ac:dyDescent="0.4">
      <c r="B37" s="3">
        <v>2</v>
      </c>
      <c r="C37" s="63" t="str">
        <f ca="1">IF(ISBLANK(INDIRECT(ADDRESS(B37*2+2,3))),"",INDIRECT(ADDRESS(B37*2+2,3)))</f>
        <v>Коппа-Лукьянова</v>
      </c>
      <c r="D37" s="63"/>
      <c r="E37" s="64"/>
      <c r="F37" s="47">
        <v>7</v>
      </c>
      <c r="G37" s="48">
        <v>11</v>
      </c>
      <c r="H37" s="65" t="str">
        <f ca="1">IF(ISBLANK(INDIRECT(ADDRESS(K37*2+2,3))),"",INDIRECT(ADDRESS(K37*2+2,3)))</f>
        <v>Павлова-Соколова</v>
      </c>
      <c r="I37" s="63"/>
      <c r="J37" s="63"/>
      <c r="K37" s="3">
        <v>3</v>
      </c>
      <c r="L37" s="30" t="s">
        <v>11</v>
      </c>
      <c r="M37" s="42">
        <v>4</v>
      </c>
    </row>
    <row r="38" spans="2:13" ht="30" customHeight="1" x14ac:dyDescent="0.35">
      <c r="M38" s="46"/>
    </row>
    <row r="39" spans="2:13" ht="30" customHeight="1" thickBot="1" x14ac:dyDescent="0.4">
      <c r="B39" s="62" t="s">
        <v>9</v>
      </c>
      <c r="C39" s="62"/>
      <c r="D39" s="62"/>
      <c r="E39" s="62"/>
      <c r="F39" s="62"/>
      <c r="G39" s="62"/>
      <c r="H39" s="62"/>
      <c r="I39" s="62"/>
      <c r="J39" s="62"/>
      <c r="K39" s="62"/>
      <c r="M39" s="46"/>
    </row>
    <row r="40" spans="2:13" ht="30" customHeight="1" thickBot="1" x14ac:dyDescent="0.4">
      <c r="B40" s="3">
        <v>3</v>
      </c>
      <c r="C40" s="63" t="str">
        <f ca="1">IF(ISBLANK(INDIRECT(ADDRESS(B40*2+2,3))),"",INDIRECT(ADDRESS(B40*2+2,3)))</f>
        <v>Павлова-Соколова</v>
      </c>
      <c r="D40" s="63"/>
      <c r="E40" s="64"/>
      <c r="F40" s="47">
        <v>6</v>
      </c>
      <c r="G40" s="48">
        <v>13</v>
      </c>
      <c r="H40" s="65" t="str">
        <f ca="1">IF(ISBLANK(INDIRECT(ADDRESS(K40*2+2,3))),"",INDIRECT(ADDRESS(K40*2+2,3)))</f>
        <v>Елсакова-Зимина</v>
      </c>
      <c r="I40" s="63"/>
      <c r="J40" s="63"/>
      <c r="K40" s="3">
        <v>6</v>
      </c>
      <c r="L40" s="30" t="s">
        <v>11</v>
      </c>
      <c r="M40" s="42">
        <v>1</v>
      </c>
    </row>
    <row r="41" spans="2:13" ht="30" customHeight="1" thickBot="1" x14ac:dyDescent="0.4">
      <c r="B41" s="3">
        <v>4</v>
      </c>
      <c r="C41" s="93" t="str">
        <f ca="1">IF(ISBLANK(INDIRECT(ADDRESS(B41*2+2,3))),"",INDIRECT(ADDRESS(B41*2+2,3)))</f>
        <v>Березнеговская-Кузнецова</v>
      </c>
      <c r="D41" s="93"/>
      <c r="E41" s="94"/>
      <c r="F41" s="47">
        <v>10</v>
      </c>
      <c r="G41" s="48">
        <v>2</v>
      </c>
      <c r="H41" s="65" t="str">
        <f ca="1">IF(ISBLANK(INDIRECT(ADDRESS(K41*2+2,3))),"",INDIRECT(ADDRESS(K41*2+2,3)))</f>
        <v>Коппа-Лукьянова</v>
      </c>
      <c r="I41" s="63"/>
      <c r="J41" s="63"/>
      <c r="K41" s="3">
        <v>2</v>
      </c>
      <c r="L41" s="30" t="s">
        <v>11</v>
      </c>
      <c r="M41" s="42">
        <v>2</v>
      </c>
    </row>
    <row r="42" spans="2:13" ht="30" customHeight="1" thickBot="1" x14ac:dyDescent="0.4">
      <c r="B42" s="3">
        <v>5</v>
      </c>
      <c r="C42" s="63" t="str">
        <f ca="1">IF(ISBLANK(INDIRECT(ADDRESS(B42*2+2,3))),"",INDIRECT(ADDRESS(B42*2+2,3)))</f>
        <v>Карепова-Таратина</v>
      </c>
      <c r="D42" s="63"/>
      <c r="E42" s="64"/>
      <c r="F42" s="47">
        <v>2</v>
      </c>
      <c r="G42" s="48">
        <v>13</v>
      </c>
      <c r="H42" s="65" t="str">
        <f ca="1">IF(ISBLANK(INDIRECT(ADDRESS(K42*2+2,3))),"",INDIRECT(ADDRESS(K42*2+2,3)))</f>
        <v>Баринова-Петрушко</v>
      </c>
      <c r="I42" s="63"/>
      <c r="J42" s="63"/>
      <c r="K42" s="3">
        <v>1</v>
      </c>
      <c r="L42" s="30" t="s">
        <v>11</v>
      </c>
      <c r="M42" s="42">
        <v>3</v>
      </c>
    </row>
  </sheetData>
  <mergeCells count="61">
    <mergeCell ref="C41:E41"/>
    <mergeCell ref="H41:J41"/>
    <mergeCell ref="C42:E42"/>
    <mergeCell ref="H42:J42"/>
    <mergeCell ref="C37:E37"/>
    <mergeCell ref="H37:J37"/>
    <mergeCell ref="B39:K39"/>
    <mergeCell ref="C40:E40"/>
    <mergeCell ref="H40:J40"/>
    <mergeCell ref="C32:E32"/>
    <mergeCell ref="H32:J32"/>
    <mergeCell ref="B34:K34"/>
    <mergeCell ref="C36:E36"/>
    <mergeCell ref="H36:J36"/>
    <mergeCell ref="C35:E35"/>
    <mergeCell ref="H35:J35"/>
    <mergeCell ref="N10:N11"/>
    <mergeCell ref="L12:L13"/>
    <mergeCell ref="N12:N13"/>
    <mergeCell ref="B14:B15"/>
    <mergeCell ref="C14:E15"/>
    <mergeCell ref="L14:L15"/>
    <mergeCell ref="N14:N15"/>
    <mergeCell ref="C10:E11"/>
    <mergeCell ref="L10:L11"/>
    <mergeCell ref="B12:B13"/>
    <mergeCell ref="C12:E13"/>
    <mergeCell ref="N4:N5"/>
    <mergeCell ref="L6:L7"/>
    <mergeCell ref="N6:N7"/>
    <mergeCell ref="L8:L9"/>
    <mergeCell ref="N8:N9"/>
    <mergeCell ref="L4:L5"/>
    <mergeCell ref="B1:K1"/>
    <mergeCell ref="C3:E3"/>
    <mergeCell ref="B4:B5"/>
    <mergeCell ref="C4:E5"/>
    <mergeCell ref="C22:E22"/>
    <mergeCell ref="H22:J22"/>
    <mergeCell ref="B6:B7"/>
    <mergeCell ref="C6:E7"/>
    <mergeCell ref="B8:B9"/>
    <mergeCell ref="C8:E9"/>
    <mergeCell ref="B19:K19"/>
    <mergeCell ref="C20:E20"/>
    <mergeCell ref="H20:J20"/>
    <mergeCell ref="C21:E21"/>
    <mergeCell ref="H21:J21"/>
    <mergeCell ref="B10:B11"/>
    <mergeCell ref="C26:E26"/>
    <mergeCell ref="H26:J26"/>
    <mergeCell ref="C27:E27"/>
    <mergeCell ref="H27:J27"/>
    <mergeCell ref="B24:K24"/>
    <mergeCell ref="C25:E25"/>
    <mergeCell ref="H25:J25"/>
    <mergeCell ref="B29:K29"/>
    <mergeCell ref="C30:E30"/>
    <mergeCell ref="H30:J30"/>
    <mergeCell ref="C31:E31"/>
    <mergeCell ref="H31:J31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35"/>
  <sheetViews>
    <sheetView workbookViewId="0">
      <selection activeCell="G37" sqref="G37"/>
    </sheetView>
  </sheetViews>
  <sheetFormatPr defaultRowHeight="15" x14ac:dyDescent="0.25"/>
  <cols>
    <col min="1" max="1" width="4" style="33" customWidth="1"/>
    <col min="2" max="12" width="10.28515625" customWidth="1"/>
    <col min="13" max="13" width="10.28515625" style="32" customWidth="1"/>
    <col min="14" max="15" width="10.28515625" customWidth="1"/>
  </cols>
  <sheetData>
    <row r="1" spans="1:14" ht="59.25" customHeight="1" x14ac:dyDescent="0.25">
      <c r="B1" s="66" t="s">
        <v>75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1:14" ht="15.75" thickBot="1" x14ac:dyDescent="0.3">
      <c r="M2"/>
    </row>
    <row r="3" spans="1:14" ht="30" customHeight="1" thickBot="1" x14ac:dyDescent="0.3">
      <c r="B3" s="23"/>
      <c r="C3" s="67" t="s">
        <v>0</v>
      </c>
      <c r="D3" s="68"/>
      <c r="E3" s="6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3" t="s">
        <v>1</v>
      </c>
      <c r="L3" s="1" t="s">
        <v>3</v>
      </c>
      <c r="M3" s="20" t="s">
        <v>2</v>
      </c>
    </row>
    <row r="4" spans="1:14" ht="24" customHeight="1" x14ac:dyDescent="0.25">
      <c r="A4" s="33" t="s">
        <v>64</v>
      </c>
      <c r="B4" s="70">
        <v>1</v>
      </c>
      <c r="C4" s="103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Савченко-Дубовицкая</v>
      </c>
      <c r="D4" s="104"/>
      <c r="E4" s="105"/>
      <c r="F4" s="8" t="s">
        <v>7</v>
      </c>
      <c r="G4" s="4" t="str">
        <f ca="1">INDIRECT(ADDRESS(23,6))&amp;":"&amp;INDIRECT(ADDRESS(23,7))</f>
        <v>13:6</v>
      </c>
      <c r="H4" s="4" t="str">
        <f ca="1">INDIRECT(ADDRESS(26,7))&amp;":"&amp;INDIRECT(ADDRESS(26,6))</f>
        <v>13:2</v>
      </c>
      <c r="I4" s="4" t="str">
        <f ca="1">INDIRECT(ADDRESS(30,6))&amp;":"&amp;INDIRECT(ADDRESS(30,7))</f>
        <v>5:12</v>
      </c>
      <c r="J4" s="19" t="str">
        <f ca="1">INDIRECT(ADDRESS(35,7))&amp;":"&amp;INDIRECT(ADDRESS(35,6))</f>
        <v>10:4</v>
      </c>
      <c r="K4" s="106">
        <f ca="1">IF(COUNT(F5:J5)=0,"",COUNTIF(F5:J5,"&gt;0")+0.5*COUNTIF(F5:J5,0))</f>
        <v>3</v>
      </c>
      <c r="L4" s="22"/>
      <c r="M4" s="107">
        <v>1</v>
      </c>
    </row>
    <row r="5" spans="1:14" ht="24" customHeight="1" x14ac:dyDescent="0.25">
      <c r="A5" s="33">
        <v>2</v>
      </c>
      <c r="B5" s="71"/>
      <c r="C5" s="79"/>
      <c r="D5" s="80"/>
      <c r="E5" s="81"/>
      <c r="F5" s="12" t="s">
        <v>7</v>
      </c>
      <c r="G5" s="15">
        <f ca="1">IF(LEN(INDIRECT(ADDRESS(ROW()-1, COLUMN())))=1,"",INDIRECT(ADDRESS(23,6))-INDIRECT(ADDRESS(23,7)))</f>
        <v>7</v>
      </c>
      <c r="H5" s="15">
        <f ca="1">IF(LEN(INDIRECT(ADDRESS(ROW()-1, COLUMN())))=1,"",INDIRECT(ADDRESS(26,7))-INDIRECT(ADDRESS(26,6)))</f>
        <v>11</v>
      </c>
      <c r="I5" s="15">
        <f ca="1">IF(LEN(INDIRECT(ADDRESS(ROW()-1, COLUMN())))=1,"",INDIRECT(ADDRESS(30,6))-INDIRECT(ADDRESS(30,7)))</f>
        <v>-7</v>
      </c>
      <c r="J5" s="16">
        <f ca="1">IF(LEN(INDIRECT(ADDRESS(ROW()-1, COLUMN())))=1,"",INDIRECT(ADDRESS(35,7))-INDIRECT(ADDRESS(35,6)))</f>
        <v>6</v>
      </c>
      <c r="K5" s="98"/>
      <c r="L5" s="15">
        <f ca="1">IF(COUNT(F5:J5)=0,"",SUM(F5:J5))</f>
        <v>17</v>
      </c>
      <c r="M5" s="96"/>
    </row>
    <row r="6" spans="1:14" ht="24" customHeight="1" x14ac:dyDescent="0.25">
      <c r="A6" s="33" t="s">
        <v>64</v>
      </c>
      <c r="B6" s="78">
        <v>2</v>
      </c>
      <c r="C6" s="79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Артюхина-Бирюкова</v>
      </c>
      <c r="D6" s="80"/>
      <c r="E6" s="81"/>
      <c r="F6" s="10" t="str">
        <f ca="1">INDIRECT(ADDRESS(23,7))&amp;":"&amp;INDIRECT(ADDRESS(23,6))</f>
        <v>6:13</v>
      </c>
      <c r="G6" s="6" t="s">
        <v>7</v>
      </c>
      <c r="H6" s="5" t="str">
        <f ca="1">INDIRECT(ADDRESS(31,6))&amp;":"&amp;INDIRECT(ADDRESS(31,7))</f>
        <v>13:6</v>
      </c>
      <c r="I6" s="5" t="str">
        <f ca="1">INDIRECT(ADDRESS(34,7))&amp;":"&amp;INDIRECT(ADDRESS(34,6))</f>
        <v>10:5</v>
      </c>
      <c r="J6" s="9" t="str">
        <f ca="1">INDIRECT(ADDRESS(18,6))&amp;":"&amp;INDIRECT(ADDRESS(18,7))</f>
        <v>10:3</v>
      </c>
      <c r="K6" s="98">
        <f ca="1">IF(COUNT(F7:J7)=0,"",COUNTIF(F7:J7,"&gt;0")+0.5*COUNTIF(F7:J7,0))</f>
        <v>3</v>
      </c>
      <c r="L6" s="15"/>
      <c r="M6" s="96">
        <v>2</v>
      </c>
    </row>
    <row r="7" spans="1:14" ht="24" customHeight="1" x14ac:dyDescent="0.25">
      <c r="A7" s="33">
        <v>4</v>
      </c>
      <c r="B7" s="71"/>
      <c r="C7" s="79"/>
      <c r="D7" s="80"/>
      <c r="E7" s="81"/>
      <c r="F7" s="21">
        <f ca="1">IF(LEN(INDIRECT(ADDRESS(ROW()-1, COLUMN())))=1,"",INDIRECT(ADDRESS(23,7))-INDIRECT(ADDRESS(23,6)))</f>
        <v>-7</v>
      </c>
      <c r="G7" s="13" t="s">
        <v>7</v>
      </c>
      <c r="H7" s="15">
        <f ca="1">IF(LEN(INDIRECT(ADDRESS(ROW()-1, COLUMN())))=1,"",INDIRECT(ADDRESS(31,6))-INDIRECT(ADDRESS(31,7)))</f>
        <v>7</v>
      </c>
      <c r="I7" s="15">
        <f ca="1">IF(LEN(INDIRECT(ADDRESS(ROW()-1, COLUMN())))=1,"",INDIRECT(ADDRESS(34,7))-INDIRECT(ADDRESS(34,6)))</f>
        <v>5</v>
      </c>
      <c r="J7" s="16">
        <f ca="1">IF(LEN(INDIRECT(ADDRESS(ROW()-1, COLUMN())))=1,"",INDIRECT(ADDRESS(18,6))-INDIRECT(ADDRESS(18,7)))</f>
        <v>7</v>
      </c>
      <c r="K7" s="98"/>
      <c r="L7" s="15">
        <f ca="1">IF(COUNT(F7:J7)=0,"",SUM(F7:J7))</f>
        <v>12</v>
      </c>
      <c r="M7" s="96"/>
    </row>
    <row r="8" spans="1:14" ht="24" customHeight="1" x14ac:dyDescent="0.25">
      <c r="A8" s="33" t="s">
        <v>64</v>
      </c>
      <c r="B8" s="78">
        <v>3</v>
      </c>
      <c r="C8" s="75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Курбанова-Хафизова</v>
      </c>
      <c r="D8" s="76"/>
      <c r="E8" s="77"/>
      <c r="F8" s="10" t="str">
        <f ca="1">INDIRECT(ADDRESS(26,6))&amp;":"&amp;INDIRECT(ADDRESS(26,7))</f>
        <v>2:13</v>
      </c>
      <c r="G8" s="5" t="str">
        <f ca="1">INDIRECT(ADDRESS(31,7))&amp;":"&amp;INDIRECT(ADDRESS(31,6))</f>
        <v>6:13</v>
      </c>
      <c r="H8" s="6" t="s">
        <v>7</v>
      </c>
      <c r="I8" s="5" t="str">
        <f ca="1">INDIRECT(ADDRESS(19,6))&amp;":"&amp;INDIRECT(ADDRESS(19,7))</f>
        <v>5:6</v>
      </c>
      <c r="J8" s="9" t="str">
        <f ca="1">INDIRECT(ADDRESS(22,7))&amp;":"&amp;INDIRECT(ADDRESS(22,6))</f>
        <v>4:6</v>
      </c>
      <c r="K8" s="98">
        <f ca="1">IF(COUNT(F9:J9)=0,"",COUNTIF(F9:J9,"&gt;0")+0.5*COUNTIF(F9:J9,0))</f>
        <v>0</v>
      </c>
      <c r="L8" s="15"/>
      <c r="M8" s="96">
        <v>5</v>
      </c>
      <c r="N8" t="s">
        <v>112</v>
      </c>
    </row>
    <row r="9" spans="1:14" ht="24" customHeight="1" x14ac:dyDescent="0.25">
      <c r="A9" s="33">
        <v>6</v>
      </c>
      <c r="B9" s="71"/>
      <c r="C9" s="75"/>
      <c r="D9" s="76"/>
      <c r="E9" s="77"/>
      <c r="F9" s="21">
        <f ca="1">IF(LEN(INDIRECT(ADDRESS(ROW()-1, COLUMN())))=1,"",INDIRECT(ADDRESS(26,6))-INDIRECT(ADDRESS(26,7)))</f>
        <v>-11</v>
      </c>
      <c r="G9" s="15">
        <f ca="1">IF(LEN(INDIRECT(ADDRESS(ROW()-1, COLUMN())))=1,"",INDIRECT(ADDRESS(31,7))-INDIRECT(ADDRESS(31,6)))</f>
        <v>-7</v>
      </c>
      <c r="H9" s="13" t="s">
        <v>7</v>
      </c>
      <c r="I9" s="15">
        <f ca="1">IF(LEN(INDIRECT(ADDRESS(ROW()-1, COLUMN())))=1,"",INDIRECT(ADDRESS(19,6))-INDIRECT(ADDRESS(19,7)))</f>
        <v>-1</v>
      </c>
      <c r="J9" s="16">
        <f ca="1">IF(LEN(INDIRECT(ADDRESS(ROW()-1, COLUMN())))=1,"",INDIRECT(ADDRESS(22,7))-INDIRECT(ADDRESS(22,6)))</f>
        <v>-2</v>
      </c>
      <c r="K9" s="98"/>
      <c r="L9" s="15">
        <f ca="1">IF(COUNT(F9:J9)=0,"",SUM(F9:J9))</f>
        <v>-21</v>
      </c>
      <c r="M9" s="96"/>
    </row>
    <row r="10" spans="1:14" ht="24" customHeight="1" x14ac:dyDescent="0.25">
      <c r="A10" s="33" t="s">
        <v>64</v>
      </c>
      <c r="B10" s="78">
        <v>4</v>
      </c>
      <c r="C10" s="75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Алкина-Грачанац</v>
      </c>
      <c r="D10" s="76"/>
      <c r="E10" s="77"/>
      <c r="F10" s="10" t="str">
        <f ca="1">INDIRECT(ADDRESS(30,7))&amp;":"&amp;INDIRECT(ADDRESS(30,6))</f>
        <v>12:5</v>
      </c>
      <c r="G10" s="5" t="str">
        <f ca="1">INDIRECT(ADDRESS(34,6))&amp;":"&amp;INDIRECT(ADDRESS(34,7))</f>
        <v>5:10</v>
      </c>
      <c r="H10" s="5" t="str">
        <f ca="1">INDIRECT(ADDRESS(19,7))&amp;":"&amp;INDIRECT(ADDRESS(19,6))</f>
        <v>6:5</v>
      </c>
      <c r="I10" s="6" t="s">
        <v>7</v>
      </c>
      <c r="J10" s="9" t="str">
        <f ca="1">INDIRECT(ADDRESS(27,6))&amp;":"&amp;INDIRECT(ADDRESS(27,7))</f>
        <v>0:13</v>
      </c>
      <c r="K10" s="98">
        <f ca="1">IF(COUNT(F11:J11)=0,"",COUNTIF(F11:J11,"&gt;0")+0.5*COUNTIF(F11:J11,0))</f>
        <v>2</v>
      </c>
      <c r="L10" s="15"/>
      <c r="M10" s="96">
        <v>4</v>
      </c>
    </row>
    <row r="11" spans="1:14" ht="24" customHeight="1" x14ac:dyDescent="0.25">
      <c r="A11" s="33">
        <v>8</v>
      </c>
      <c r="B11" s="71"/>
      <c r="C11" s="75"/>
      <c r="D11" s="76"/>
      <c r="E11" s="77"/>
      <c r="F11" s="21">
        <f ca="1">IF(LEN(INDIRECT(ADDRESS(ROW()-1, COLUMN())))=1,"",INDIRECT(ADDRESS(30,7))-INDIRECT(ADDRESS(30,6)))</f>
        <v>7</v>
      </c>
      <c r="G11" s="15">
        <f ca="1">IF(LEN(INDIRECT(ADDRESS(ROW()-1, COLUMN())))=1,"",INDIRECT(ADDRESS(34,6))-INDIRECT(ADDRESS(34,7)))</f>
        <v>-5</v>
      </c>
      <c r="H11" s="15">
        <f ca="1">IF(LEN(INDIRECT(ADDRESS(ROW()-1, COLUMN())))=1,"",INDIRECT(ADDRESS(19,7))-INDIRECT(ADDRESS(19,6)))</f>
        <v>1</v>
      </c>
      <c r="I11" s="13" t="s">
        <v>7</v>
      </c>
      <c r="J11" s="16">
        <f ca="1">IF(LEN(INDIRECT(ADDRESS(ROW()-1, COLUMN())))=1,"",INDIRECT(ADDRESS(27,6))-INDIRECT(ADDRESS(27,7)))</f>
        <v>-13</v>
      </c>
      <c r="K11" s="98"/>
      <c r="L11" s="15">
        <f ca="1">IF(COUNT(F11:J11)=0,"",SUM(F11:J11))</f>
        <v>-10</v>
      </c>
      <c r="M11" s="96"/>
    </row>
    <row r="12" spans="1:14" ht="24" customHeight="1" x14ac:dyDescent="0.25">
      <c r="A12" s="33" t="s">
        <v>64</v>
      </c>
      <c r="B12" s="78">
        <v>5</v>
      </c>
      <c r="C12" s="75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Гуменюк-Елсакова</v>
      </c>
      <c r="D12" s="76"/>
      <c r="E12" s="77"/>
      <c r="F12" s="10" t="str">
        <f ca="1">INDIRECT(ADDRESS(35,6))&amp;":"&amp;INDIRECT(ADDRESS(35,7))</f>
        <v>4:10</v>
      </c>
      <c r="G12" s="5" t="str">
        <f ca="1">INDIRECT(ADDRESS(18,7))&amp;":"&amp;INDIRECT(ADDRESS(18,6))</f>
        <v>3:10</v>
      </c>
      <c r="H12" s="5" t="str">
        <f ca="1">INDIRECT(ADDRESS(22,6))&amp;":"&amp;INDIRECT(ADDRESS(22,7))</f>
        <v>6:4</v>
      </c>
      <c r="I12" s="5" t="str">
        <f ca="1">INDIRECT(ADDRESS(27,7))&amp;":"&amp;INDIRECT(ADDRESS(27,6))</f>
        <v>13:0</v>
      </c>
      <c r="J12" s="11" t="s">
        <v>7</v>
      </c>
      <c r="K12" s="98">
        <f ca="1">IF(COUNT(F13:J13)=0,"",COUNTIF(F13:J13,"&gt;0")+0.5*COUNTIF(F13:J13,0))</f>
        <v>2</v>
      </c>
      <c r="L12" s="15"/>
      <c r="M12" s="96">
        <v>3</v>
      </c>
    </row>
    <row r="13" spans="1:14" ht="24" customHeight="1" thickBot="1" x14ac:dyDescent="0.3">
      <c r="A13" s="33">
        <v>10</v>
      </c>
      <c r="B13" s="87"/>
      <c r="C13" s="99"/>
      <c r="D13" s="100"/>
      <c r="E13" s="101"/>
      <c r="F13" s="18">
        <f ca="1">IF(LEN(INDIRECT(ADDRESS(ROW()-1, COLUMN())))=1,"",INDIRECT(ADDRESS(35,6))-INDIRECT(ADDRESS(35,7)))</f>
        <v>-6</v>
      </c>
      <c r="G13" s="17">
        <f ca="1">IF(LEN(INDIRECT(ADDRESS(ROW()-1, COLUMN())))=1,"",INDIRECT(ADDRESS(18,7))-INDIRECT(ADDRESS(18,6)))</f>
        <v>-7</v>
      </c>
      <c r="H13" s="17">
        <f ca="1">IF(LEN(INDIRECT(ADDRESS(ROW()-1, COLUMN())))=1,"",INDIRECT(ADDRESS(22,6))-INDIRECT(ADDRESS(22,7)))</f>
        <v>2</v>
      </c>
      <c r="I13" s="17">
        <f ca="1">IF(LEN(INDIRECT(ADDRESS(ROW()-1, COLUMN())))=1,"",INDIRECT(ADDRESS(27,7))-INDIRECT(ADDRESS(27,6)))</f>
        <v>13</v>
      </c>
      <c r="J13" s="14" t="s">
        <v>7</v>
      </c>
      <c r="K13" s="102"/>
      <c r="L13" s="17">
        <f ca="1">IF(COUNT(F13:J13)=0,"",SUM(F13:J13))</f>
        <v>2</v>
      </c>
      <c r="M13" s="97"/>
    </row>
    <row r="14" spans="1:14" x14ac:dyDescent="0.25">
      <c r="M14"/>
    </row>
    <row r="15" spans="1:14" x14ac:dyDescent="0.25">
      <c r="M15"/>
    </row>
    <row r="16" spans="1:14" x14ac:dyDescent="0.25">
      <c r="M16"/>
    </row>
    <row r="17" spans="2:13" ht="30" customHeight="1" thickBot="1" x14ac:dyDescent="0.3">
      <c r="B17" s="62" t="s">
        <v>4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2:13" ht="30" customHeight="1" thickBot="1" x14ac:dyDescent="0.4">
      <c r="B18" s="3">
        <v>2</v>
      </c>
      <c r="C18" s="63" t="str">
        <f ca="1">IF(ISBLANK(INDIRECT(ADDRESS(B18*2+2,3))),"",INDIRECT(ADDRESS(B18*2+2,3)))</f>
        <v>Артюхина-Бирюкова</v>
      </c>
      <c r="D18" s="63"/>
      <c r="E18" s="64"/>
      <c r="F18" s="47">
        <v>10</v>
      </c>
      <c r="G18" s="48">
        <v>3</v>
      </c>
      <c r="H18" s="65" t="str">
        <f ca="1">IF(ISBLANK(INDIRECT(ADDRESS(K18*2+2,3))),"",INDIRECT(ADDRESS(K18*2+2,3)))</f>
        <v>Гуменюк-Елсакова</v>
      </c>
      <c r="I18" s="63"/>
      <c r="J18" s="63"/>
      <c r="K18" s="3">
        <v>5</v>
      </c>
      <c r="L18" s="30" t="s">
        <v>11</v>
      </c>
      <c r="M18" s="42">
        <v>4</v>
      </c>
    </row>
    <row r="19" spans="2:13" ht="30" customHeight="1" thickBot="1" x14ac:dyDescent="0.4">
      <c r="B19" s="3">
        <v>3</v>
      </c>
      <c r="C19" s="63" t="str">
        <f ca="1">IF(ISBLANK(INDIRECT(ADDRESS(B19*2+2,3))),"",INDIRECT(ADDRESS(B19*2+2,3)))</f>
        <v>Курбанова-Хафизова</v>
      </c>
      <c r="D19" s="63"/>
      <c r="E19" s="64"/>
      <c r="F19" s="47">
        <v>5</v>
      </c>
      <c r="G19" s="48">
        <v>6</v>
      </c>
      <c r="H19" s="65" t="str">
        <f ca="1">IF(ISBLANK(INDIRECT(ADDRESS(K19*2+2,3))),"",INDIRECT(ADDRESS(K19*2+2,3)))</f>
        <v>Алкина-Грачанац</v>
      </c>
      <c r="I19" s="63"/>
      <c r="J19" s="63"/>
      <c r="K19" s="3">
        <v>4</v>
      </c>
      <c r="L19" s="30" t="s">
        <v>11</v>
      </c>
      <c r="M19" s="42">
        <v>5</v>
      </c>
    </row>
    <row r="20" spans="2:13" ht="30" customHeight="1" x14ac:dyDescent="0.35">
      <c r="M20" s="46"/>
    </row>
    <row r="21" spans="2:13" ht="30" customHeight="1" thickBot="1" x14ac:dyDescent="0.4">
      <c r="B21" s="62" t="s">
        <v>5</v>
      </c>
      <c r="C21" s="62"/>
      <c r="D21" s="62"/>
      <c r="E21" s="62"/>
      <c r="F21" s="62"/>
      <c r="G21" s="62"/>
      <c r="H21" s="62"/>
      <c r="I21" s="62"/>
      <c r="J21" s="62"/>
      <c r="K21" s="62"/>
      <c r="M21" s="46"/>
    </row>
    <row r="22" spans="2:13" ht="30" customHeight="1" thickBot="1" x14ac:dyDescent="0.4">
      <c r="B22" s="3">
        <v>5</v>
      </c>
      <c r="C22" s="63" t="str">
        <f ca="1">IF(ISBLANK(INDIRECT(ADDRESS(B22*2+2,3))),"",INDIRECT(ADDRESS(B22*2+2,3)))</f>
        <v>Гуменюк-Елсакова</v>
      </c>
      <c r="D22" s="63"/>
      <c r="E22" s="64"/>
      <c r="F22" s="47">
        <v>6</v>
      </c>
      <c r="G22" s="48">
        <v>4</v>
      </c>
      <c r="H22" s="65" t="str">
        <f ca="1">IF(ISBLANK(INDIRECT(ADDRESS(K22*2+2,3))),"",INDIRECT(ADDRESS(K22*2+2,3)))</f>
        <v>Курбанова-Хафизова</v>
      </c>
      <c r="I22" s="63"/>
      <c r="J22" s="63"/>
      <c r="K22" s="3">
        <v>3</v>
      </c>
      <c r="L22" s="30" t="s">
        <v>11</v>
      </c>
      <c r="M22" s="42">
        <v>1</v>
      </c>
    </row>
    <row r="23" spans="2:13" ht="30" customHeight="1" thickBot="1" x14ac:dyDescent="0.4">
      <c r="B23" s="3">
        <v>1</v>
      </c>
      <c r="C23" s="63" t="str">
        <f ca="1">IF(ISBLANK(INDIRECT(ADDRESS(B23*2+2,3))),"",INDIRECT(ADDRESS(B23*2+2,3)))</f>
        <v>Савченко-Дубовицкая</v>
      </c>
      <c r="D23" s="63"/>
      <c r="E23" s="64"/>
      <c r="F23" s="47">
        <v>13</v>
      </c>
      <c r="G23" s="48">
        <v>6</v>
      </c>
      <c r="H23" s="65" t="str">
        <f ca="1">IF(ISBLANK(INDIRECT(ADDRESS(K23*2+2,3))),"",INDIRECT(ADDRESS(K23*2+2,3)))</f>
        <v>Артюхина-Бирюкова</v>
      </c>
      <c r="I23" s="63"/>
      <c r="J23" s="63"/>
      <c r="K23" s="3">
        <v>2</v>
      </c>
      <c r="L23" s="30" t="s">
        <v>11</v>
      </c>
      <c r="M23" s="42">
        <v>2</v>
      </c>
    </row>
    <row r="24" spans="2:13" ht="30" customHeight="1" x14ac:dyDescent="0.35">
      <c r="M24" s="46"/>
    </row>
    <row r="25" spans="2:13" ht="30" customHeight="1" thickBot="1" x14ac:dyDescent="0.4">
      <c r="B25" s="62" t="s">
        <v>6</v>
      </c>
      <c r="C25" s="62"/>
      <c r="D25" s="62"/>
      <c r="E25" s="62"/>
      <c r="F25" s="62"/>
      <c r="G25" s="62"/>
      <c r="H25" s="62"/>
      <c r="I25" s="62"/>
      <c r="J25" s="62"/>
      <c r="K25" s="62"/>
      <c r="M25" s="46"/>
    </row>
    <row r="26" spans="2:13" ht="30" customHeight="1" thickBot="1" x14ac:dyDescent="0.4">
      <c r="B26" s="3">
        <v>3</v>
      </c>
      <c r="C26" s="63" t="str">
        <f ca="1">IF(ISBLANK(INDIRECT(ADDRESS(B26*2+2,3))),"",INDIRECT(ADDRESS(B26*2+2,3)))</f>
        <v>Курбанова-Хафизова</v>
      </c>
      <c r="D26" s="63"/>
      <c r="E26" s="64"/>
      <c r="F26" s="47">
        <v>2</v>
      </c>
      <c r="G26" s="48">
        <v>13</v>
      </c>
      <c r="H26" s="65" t="str">
        <f ca="1">IF(ISBLANK(INDIRECT(ADDRESS(K26*2+2,3))),"",INDIRECT(ADDRESS(K26*2+2,3)))</f>
        <v>Савченко-Дубовицкая</v>
      </c>
      <c r="I26" s="63"/>
      <c r="J26" s="63"/>
      <c r="K26" s="3">
        <v>1</v>
      </c>
      <c r="L26" s="30" t="s">
        <v>11</v>
      </c>
      <c r="M26" s="42">
        <v>5</v>
      </c>
    </row>
    <row r="27" spans="2:13" ht="30" customHeight="1" thickBot="1" x14ac:dyDescent="0.4">
      <c r="B27" s="3">
        <v>4</v>
      </c>
      <c r="C27" s="63" t="str">
        <f ca="1">IF(ISBLANK(INDIRECT(ADDRESS(B27*2+2,3))),"",INDIRECT(ADDRESS(B27*2+2,3)))</f>
        <v>Алкина-Грачанац</v>
      </c>
      <c r="D27" s="63"/>
      <c r="E27" s="64"/>
      <c r="F27" s="47">
        <v>0</v>
      </c>
      <c r="G27" s="48">
        <v>13</v>
      </c>
      <c r="H27" s="65" t="str">
        <f ca="1">IF(ISBLANK(INDIRECT(ADDRESS(K27*2+2,3))),"",INDIRECT(ADDRESS(K27*2+2,3)))</f>
        <v>Гуменюк-Елсакова</v>
      </c>
      <c r="I27" s="63"/>
      <c r="J27" s="63"/>
      <c r="K27" s="3">
        <v>5</v>
      </c>
      <c r="L27" s="30" t="s">
        <v>11</v>
      </c>
      <c r="M27" s="42">
        <v>6</v>
      </c>
    </row>
    <row r="28" spans="2:13" ht="30" customHeight="1" x14ac:dyDescent="0.35">
      <c r="M28" s="46"/>
    </row>
    <row r="29" spans="2:13" ht="30" customHeight="1" thickBot="1" x14ac:dyDescent="0.4">
      <c r="B29" s="62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M29" s="46"/>
    </row>
    <row r="30" spans="2:13" ht="30" customHeight="1" thickBot="1" x14ac:dyDescent="0.4">
      <c r="B30" s="3">
        <v>1</v>
      </c>
      <c r="C30" s="63" t="str">
        <f ca="1">IF(ISBLANK(INDIRECT(ADDRESS(B30*2+2,3))),"",INDIRECT(ADDRESS(B30*2+2,3)))</f>
        <v>Савченко-Дубовицкая</v>
      </c>
      <c r="D30" s="63"/>
      <c r="E30" s="64"/>
      <c r="F30" s="47">
        <v>5</v>
      </c>
      <c r="G30" s="48">
        <v>12</v>
      </c>
      <c r="H30" s="65" t="str">
        <f ca="1">IF(ISBLANK(INDIRECT(ADDRESS(K30*2+2,3))),"",INDIRECT(ADDRESS(K30*2+2,3)))</f>
        <v>Алкина-Грачанац</v>
      </c>
      <c r="I30" s="63"/>
      <c r="J30" s="63"/>
      <c r="K30" s="3">
        <v>4</v>
      </c>
      <c r="L30" s="30" t="s">
        <v>11</v>
      </c>
      <c r="M30" s="42">
        <v>2</v>
      </c>
    </row>
    <row r="31" spans="2:13" ht="30" customHeight="1" thickBot="1" x14ac:dyDescent="0.4">
      <c r="B31" s="3">
        <v>2</v>
      </c>
      <c r="C31" s="63" t="str">
        <f ca="1">IF(ISBLANK(INDIRECT(ADDRESS(B31*2+2,3))),"",INDIRECT(ADDRESS(B31*2+2,3)))</f>
        <v>Артюхина-Бирюкова</v>
      </c>
      <c r="D31" s="63"/>
      <c r="E31" s="64"/>
      <c r="F31" s="47">
        <v>13</v>
      </c>
      <c r="G31" s="48">
        <v>6</v>
      </c>
      <c r="H31" s="65" t="str">
        <f ca="1">IF(ISBLANK(INDIRECT(ADDRESS(K31*2+2,3))),"",INDIRECT(ADDRESS(K31*2+2,3)))</f>
        <v>Курбанова-Хафизова</v>
      </c>
      <c r="I31" s="63"/>
      <c r="J31" s="63"/>
      <c r="K31" s="3">
        <v>3</v>
      </c>
      <c r="L31" s="30" t="s">
        <v>11</v>
      </c>
      <c r="M31" s="42">
        <v>3</v>
      </c>
    </row>
    <row r="32" spans="2:13" ht="30" customHeight="1" x14ac:dyDescent="0.35">
      <c r="M32" s="46"/>
    </row>
    <row r="33" spans="2:13" ht="30" customHeight="1" thickBot="1" x14ac:dyDescent="0.4">
      <c r="B33" s="62" t="s">
        <v>9</v>
      </c>
      <c r="C33" s="62"/>
      <c r="D33" s="62"/>
      <c r="E33" s="62"/>
      <c r="F33" s="62"/>
      <c r="G33" s="62"/>
      <c r="H33" s="62"/>
      <c r="I33" s="62"/>
      <c r="J33" s="62"/>
      <c r="K33" s="62"/>
      <c r="M33" s="46"/>
    </row>
    <row r="34" spans="2:13" ht="30" customHeight="1" thickBot="1" x14ac:dyDescent="0.4">
      <c r="B34" s="3">
        <v>4</v>
      </c>
      <c r="C34" s="63" t="str">
        <f ca="1">IF(ISBLANK(INDIRECT(ADDRESS(B34*2+2,3))),"",INDIRECT(ADDRESS(B34*2+2,3)))</f>
        <v>Алкина-Грачанац</v>
      </c>
      <c r="D34" s="63"/>
      <c r="E34" s="64"/>
      <c r="F34" s="47">
        <v>5</v>
      </c>
      <c r="G34" s="48">
        <v>10</v>
      </c>
      <c r="H34" s="65" t="str">
        <f ca="1">IF(ISBLANK(INDIRECT(ADDRESS(K34*2+2,3))),"",INDIRECT(ADDRESS(K34*2+2,3)))</f>
        <v>Артюхина-Бирюкова</v>
      </c>
      <c r="I34" s="63"/>
      <c r="J34" s="63"/>
      <c r="K34" s="3">
        <v>2</v>
      </c>
      <c r="L34" s="30" t="s">
        <v>11</v>
      </c>
      <c r="M34" s="42">
        <v>4</v>
      </c>
    </row>
    <row r="35" spans="2:13" ht="30" customHeight="1" thickBot="1" x14ac:dyDescent="0.4">
      <c r="B35" s="3">
        <v>5</v>
      </c>
      <c r="C35" s="63" t="str">
        <f ca="1">IF(ISBLANK(INDIRECT(ADDRESS(B35*2+2,3))),"",INDIRECT(ADDRESS(B35*2+2,3)))</f>
        <v>Гуменюк-Елсакова</v>
      </c>
      <c r="D35" s="63"/>
      <c r="E35" s="64"/>
      <c r="F35" s="47">
        <v>4</v>
      </c>
      <c r="G35" s="48">
        <v>10</v>
      </c>
      <c r="H35" s="65" t="str">
        <f ca="1">IF(ISBLANK(INDIRECT(ADDRESS(K35*2+2,3))),"",INDIRECT(ADDRESS(K35*2+2,3)))</f>
        <v>Савченко-Дубовицкая</v>
      </c>
      <c r="I35" s="63"/>
      <c r="J35" s="63"/>
      <c r="K35" s="3">
        <v>1</v>
      </c>
      <c r="L35" s="30" t="s">
        <v>11</v>
      </c>
      <c r="M35" s="42">
        <v>6</v>
      </c>
    </row>
  </sheetData>
  <mergeCells count="47"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C12:E13"/>
    <mergeCell ref="K12:K13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1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3"/>
  <sheetViews>
    <sheetView workbookViewId="0">
      <selection activeCell="Q5" sqref="Q5"/>
    </sheetView>
  </sheetViews>
  <sheetFormatPr defaultRowHeight="15" x14ac:dyDescent="0.25"/>
  <cols>
    <col min="1" max="1" width="4" style="38" customWidth="1"/>
    <col min="2" max="12" width="10.28515625" customWidth="1"/>
    <col min="13" max="13" width="10.28515625" style="41" customWidth="1"/>
    <col min="14" max="15" width="10.28515625" customWidth="1"/>
  </cols>
  <sheetData>
    <row r="1" spans="1:14" ht="59.25" customHeight="1" x14ac:dyDescent="0.25">
      <c r="B1" s="66" t="s">
        <v>76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1:14" ht="15.75" thickBot="1" x14ac:dyDescent="0.3">
      <c r="M2"/>
    </row>
    <row r="3" spans="1:14" ht="30" customHeight="1" thickBot="1" x14ac:dyDescent="0.3">
      <c r="B3" s="37"/>
      <c r="C3" s="67" t="s">
        <v>0</v>
      </c>
      <c r="D3" s="68"/>
      <c r="E3" s="6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9" t="s">
        <v>1</v>
      </c>
      <c r="M3" s="1" t="s">
        <v>3</v>
      </c>
      <c r="N3" s="40" t="s">
        <v>2</v>
      </c>
    </row>
    <row r="4" spans="1:14" ht="24" customHeight="1" x14ac:dyDescent="0.25">
      <c r="A4" s="38" t="s">
        <v>64</v>
      </c>
      <c r="B4" s="70">
        <v>1</v>
      </c>
      <c r="C4" s="103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Зубова-Мурашова</v>
      </c>
      <c r="D4" s="104"/>
      <c r="E4" s="105"/>
      <c r="F4" s="8" t="s">
        <v>7</v>
      </c>
      <c r="G4" s="4" t="str">
        <f ca="1">INDIRECT(ADDRESS(27,6))&amp;":"&amp;INDIRECT(ADDRESS(27,7))</f>
        <v>8:13</v>
      </c>
      <c r="H4" s="4" t="str">
        <f ca="1">INDIRECT(ADDRESS(31,7))&amp;":"&amp;INDIRECT(ADDRESS(31,6))</f>
        <v>8:5</v>
      </c>
      <c r="I4" s="4" t="str">
        <f ca="1">INDIRECT(ADDRESS(36,6))&amp;":"&amp;INDIRECT(ADDRESS(36,7))</f>
        <v>13:0</v>
      </c>
      <c r="J4" s="4" t="str">
        <f ca="1">INDIRECT(ADDRESS(42,7))&amp;":"&amp;INDIRECT(ADDRESS(42,6))</f>
        <v>8:7</v>
      </c>
      <c r="K4" s="19" t="str">
        <f ca="1">INDIRECT(ADDRESS(20,6))&amp;":"&amp;INDIRECT(ADDRESS(20,7))</f>
        <v>11:5</v>
      </c>
      <c r="L4" s="86">
        <f ca="1">IF(COUNT(F5:K5)=0,"",COUNTIF(F5:K5,"&gt;0")+0.5*COUNTIF(F5:K5,0))</f>
        <v>4</v>
      </c>
      <c r="M4" s="22"/>
      <c r="N4" s="82">
        <v>2</v>
      </c>
    </row>
    <row r="5" spans="1:14" ht="24" customHeight="1" x14ac:dyDescent="0.25">
      <c r="A5" s="38">
        <v>12</v>
      </c>
      <c r="B5" s="71"/>
      <c r="C5" s="79"/>
      <c r="D5" s="80"/>
      <c r="E5" s="81"/>
      <c r="F5" s="12" t="s">
        <v>7</v>
      </c>
      <c r="G5" s="15">
        <f ca="1">IF(LEN(INDIRECT(ADDRESS(ROW()-1, COLUMN())))=1,"",INDIRECT(ADDRESS(27,6))-INDIRECT(ADDRESS(27,7)))</f>
        <v>-5</v>
      </c>
      <c r="H5" s="15">
        <f ca="1">IF(LEN(INDIRECT(ADDRESS(ROW()-1, COLUMN())))=1,"",INDIRECT(ADDRESS(31,7))-INDIRECT(ADDRESS(31,6)))</f>
        <v>3</v>
      </c>
      <c r="I5" s="15">
        <f ca="1">IF(LEN(INDIRECT(ADDRESS(ROW()-1, COLUMN())))=1,"",INDIRECT(ADDRESS(36,6))-INDIRECT(ADDRESS(36,7)))</f>
        <v>13</v>
      </c>
      <c r="J5" s="15">
        <f ca="1">IF(LEN(INDIRECT(ADDRESS(ROW()-1, COLUMN())))=1,"",INDIRECT(ADDRESS(42,7))-INDIRECT(ADDRESS(42,6)))</f>
        <v>1</v>
      </c>
      <c r="K5" s="16">
        <f ca="1">IF(LEN(INDIRECT(ADDRESS(ROW()-1, COLUMN())))=1,"",INDIRECT(ADDRESS(20,6))-INDIRECT(ADDRESS(20,7)))</f>
        <v>6</v>
      </c>
      <c r="L5" s="84"/>
      <c r="M5" s="15">
        <f ca="1">IF(COUNT(F5:K5)=0,"",SUM(F5:K5))</f>
        <v>18</v>
      </c>
      <c r="N5" s="83"/>
    </row>
    <row r="6" spans="1:14" ht="24" customHeight="1" x14ac:dyDescent="0.25">
      <c r="A6" s="38" t="s">
        <v>64</v>
      </c>
      <c r="B6" s="78">
        <v>2</v>
      </c>
      <c r="C6" s="79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Багаутдинова-Кондратова</v>
      </c>
      <c r="D6" s="80"/>
      <c r="E6" s="81"/>
      <c r="F6" s="10" t="str">
        <f ca="1">INDIRECT(ADDRESS(27,7))&amp;":"&amp;INDIRECT(ADDRESS(27,6))</f>
        <v>13:8</v>
      </c>
      <c r="G6" s="6" t="s">
        <v>7</v>
      </c>
      <c r="H6" s="5" t="str">
        <f ca="1">INDIRECT(ADDRESS(37,6))&amp;":"&amp;INDIRECT(ADDRESS(37,7))</f>
        <v>11:4</v>
      </c>
      <c r="I6" s="5" t="str">
        <f ca="1">INDIRECT(ADDRESS(41,7))&amp;":"&amp;INDIRECT(ADDRESS(41,6))</f>
        <v>9:7</v>
      </c>
      <c r="J6" s="5" t="str">
        <f ca="1">INDIRECT(ADDRESS(21,6))&amp;":"&amp;INDIRECT(ADDRESS(21,7))</f>
        <v>10:5</v>
      </c>
      <c r="K6" s="9" t="str">
        <f ca="1">INDIRECT(ADDRESS(30,6))&amp;":"&amp;INDIRECT(ADDRESS(30,7))</f>
        <v>7:11</v>
      </c>
      <c r="L6" s="84">
        <f ca="1">IF(COUNT(F7:K7)=0,"",COUNTIF(F7:K7,"&gt;0")+0.5*COUNTIF(F7:K7,0))</f>
        <v>4</v>
      </c>
      <c r="M6" s="15"/>
      <c r="N6" s="85">
        <v>1</v>
      </c>
    </row>
    <row r="7" spans="1:14" ht="24" customHeight="1" x14ac:dyDescent="0.25">
      <c r="A7" s="38">
        <v>13</v>
      </c>
      <c r="B7" s="71"/>
      <c r="C7" s="79"/>
      <c r="D7" s="80"/>
      <c r="E7" s="81"/>
      <c r="F7" s="21">
        <f ca="1">IF(LEN(INDIRECT(ADDRESS(ROW()-1, COLUMN())))=1,"",INDIRECT(ADDRESS(27,7))-INDIRECT(ADDRESS(27,6)))</f>
        <v>5</v>
      </c>
      <c r="G7" s="13" t="s">
        <v>7</v>
      </c>
      <c r="H7" s="15">
        <f ca="1">IF(LEN(INDIRECT(ADDRESS(ROW()-1, COLUMN())))=1,"",INDIRECT(ADDRESS(37,6))-INDIRECT(ADDRESS(37,7)))</f>
        <v>7</v>
      </c>
      <c r="I7" s="15">
        <f ca="1">IF(LEN(INDIRECT(ADDRESS(ROW()-1, COLUMN())))=1,"",INDIRECT(ADDRESS(41,7))-INDIRECT(ADDRESS(41,6)))</f>
        <v>2</v>
      </c>
      <c r="J7" s="15">
        <f ca="1">IF(LEN(INDIRECT(ADDRESS(ROW()-1, COLUMN())))=1,"",INDIRECT(ADDRESS(21,6))-INDIRECT(ADDRESS(21,7)))</f>
        <v>5</v>
      </c>
      <c r="K7" s="16">
        <f ca="1">IF(LEN(INDIRECT(ADDRESS(ROW()-1, COLUMN())))=1,"",INDIRECT(ADDRESS(30,6))-INDIRECT(ADDRESS(30,7)))</f>
        <v>-4</v>
      </c>
      <c r="L7" s="84"/>
      <c r="M7" s="15">
        <f ca="1">IF(COUNT(F7:K7)=0,"",SUM(F7:K7))</f>
        <v>15</v>
      </c>
      <c r="N7" s="83"/>
    </row>
    <row r="8" spans="1:14" ht="24" customHeight="1" x14ac:dyDescent="0.25">
      <c r="A8" s="38" t="s">
        <v>64</v>
      </c>
      <c r="B8" s="78">
        <v>3</v>
      </c>
      <c r="C8" s="75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Полякова-Трофимова</v>
      </c>
      <c r="D8" s="76"/>
      <c r="E8" s="77"/>
      <c r="F8" s="10" t="str">
        <f ca="1">INDIRECT(ADDRESS(31,6))&amp;":"&amp;INDIRECT(ADDRESS(31,7))</f>
        <v>5:8</v>
      </c>
      <c r="G8" s="5" t="str">
        <f ca="1">INDIRECT(ADDRESS(37,7))&amp;":"&amp;INDIRECT(ADDRESS(37,6))</f>
        <v>4:11</v>
      </c>
      <c r="H8" s="6" t="s">
        <v>7</v>
      </c>
      <c r="I8" s="5" t="str">
        <f ca="1">INDIRECT(ADDRESS(22,6))&amp;":"&amp;INDIRECT(ADDRESS(22,7))</f>
        <v>13:6</v>
      </c>
      <c r="J8" s="5" t="str">
        <f ca="1">INDIRECT(ADDRESS(26,7))&amp;":"&amp;INDIRECT(ADDRESS(26,6))</f>
        <v>8:5</v>
      </c>
      <c r="K8" s="9" t="str">
        <f ca="1">INDIRECT(ADDRESS(40,6))&amp;":"&amp;INDIRECT(ADDRESS(40,7))</f>
        <v>7:8</v>
      </c>
      <c r="L8" s="84">
        <f ca="1">IF(COUNT(F9:K9)=0,"",COUNTIF(F9:K9,"&gt;0")+0.5*COUNTIF(F9:K9,0))</f>
        <v>2</v>
      </c>
      <c r="M8" s="15"/>
      <c r="N8" s="85">
        <v>4</v>
      </c>
    </row>
    <row r="9" spans="1:14" ht="24" customHeight="1" x14ac:dyDescent="0.25">
      <c r="A9" s="38">
        <v>14</v>
      </c>
      <c r="B9" s="71"/>
      <c r="C9" s="75"/>
      <c r="D9" s="76"/>
      <c r="E9" s="77"/>
      <c r="F9" s="21">
        <f ca="1">IF(LEN(INDIRECT(ADDRESS(ROW()-1, COLUMN())))=1,"",INDIRECT(ADDRESS(31,6))-INDIRECT(ADDRESS(31,7)))</f>
        <v>-3</v>
      </c>
      <c r="G9" s="15">
        <f ca="1">IF(LEN(INDIRECT(ADDRESS(ROW()-1, COLUMN())))=1,"",INDIRECT(ADDRESS(37,7))-INDIRECT(ADDRESS(37,6)))</f>
        <v>-7</v>
      </c>
      <c r="H9" s="13" t="s">
        <v>7</v>
      </c>
      <c r="I9" s="15">
        <f ca="1">IF(LEN(INDIRECT(ADDRESS(ROW()-1, COLUMN())))=1,"",INDIRECT(ADDRESS(22,6))-INDIRECT(ADDRESS(22,7)))</f>
        <v>7</v>
      </c>
      <c r="J9" s="15">
        <f ca="1">IF(LEN(INDIRECT(ADDRESS(ROW()-1, COLUMN())))=1,"",INDIRECT(ADDRESS(26,7))-INDIRECT(ADDRESS(26,6)))</f>
        <v>3</v>
      </c>
      <c r="K9" s="16">
        <f ca="1">IF(LEN(INDIRECT(ADDRESS(ROW()-1, COLUMN())))=1,"",INDIRECT(ADDRESS(40,6))-INDIRECT(ADDRESS(40,7)))</f>
        <v>-1</v>
      </c>
      <c r="L9" s="84"/>
      <c r="M9" s="15">
        <f ca="1">IF(COUNT(F9:K9)=0,"",SUM(F9:K9))</f>
        <v>-1</v>
      </c>
      <c r="N9" s="83"/>
    </row>
    <row r="10" spans="1:14" ht="24" customHeight="1" x14ac:dyDescent="0.25">
      <c r="A10" s="38" t="s">
        <v>64</v>
      </c>
      <c r="B10" s="78">
        <v>4</v>
      </c>
      <c r="C10" s="75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Долгова-Проценко</v>
      </c>
      <c r="D10" s="76"/>
      <c r="E10" s="77"/>
      <c r="F10" s="10" t="str">
        <f ca="1">INDIRECT(ADDRESS(36,7))&amp;":"&amp;INDIRECT(ADDRESS(36,6))</f>
        <v>0:13</v>
      </c>
      <c r="G10" s="5" t="str">
        <f ca="1">INDIRECT(ADDRESS(41,6))&amp;":"&amp;INDIRECT(ADDRESS(41,7))</f>
        <v>7:9</v>
      </c>
      <c r="H10" s="5" t="str">
        <f ca="1">INDIRECT(ADDRESS(22,7))&amp;":"&amp;INDIRECT(ADDRESS(22,6))</f>
        <v>6:13</v>
      </c>
      <c r="I10" s="6" t="s">
        <v>7</v>
      </c>
      <c r="J10" s="5" t="str">
        <f ca="1">INDIRECT(ADDRESS(32,6))&amp;":"&amp;INDIRECT(ADDRESS(32,7))</f>
        <v>13:4</v>
      </c>
      <c r="K10" s="9" t="str">
        <f ca="1">INDIRECT(ADDRESS(25,7))&amp;":"&amp;INDIRECT(ADDRESS(25,6))</f>
        <v>2:13</v>
      </c>
      <c r="L10" s="84">
        <f ca="1">IF(COUNT(F11:K11)=0,"",COUNTIF(F11:K11,"&gt;0")+0.5*COUNTIF(F11:K11,0))</f>
        <v>1</v>
      </c>
      <c r="M10" s="15"/>
      <c r="N10" s="85">
        <v>5</v>
      </c>
    </row>
    <row r="11" spans="1:14" ht="24" customHeight="1" x14ac:dyDescent="0.25">
      <c r="A11" s="38">
        <v>15</v>
      </c>
      <c r="B11" s="71"/>
      <c r="C11" s="75"/>
      <c r="D11" s="76"/>
      <c r="E11" s="77"/>
      <c r="F11" s="21">
        <f ca="1">IF(LEN(INDIRECT(ADDRESS(ROW()-1, COLUMN())))=1,"",INDIRECT(ADDRESS(36,7))-INDIRECT(ADDRESS(36,6)))</f>
        <v>-13</v>
      </c>
      <c r="G11" s="15">
        <f ca="1">IF(LEN(INDIRECT(ADDRESS(ROW()-1, COLUMN())))=1,"",INDIRECT(ADDRESS(41,6))-INDIRECT(ADDRESS(41,7)))</f>
        <v>-2</v>
      </c>
      <c r="H11" s="15">
        <f ca="1">IF(LEN(INDIRECT(ADDRESS(ROW()-1, COLUMN())))=1,"",INDIRECT(ADDRESS(22,7))-INDIRECT(ADDRESS(22,6)))</f>
        <v>-7</v>
      </c>
      <c r="I11" s="13" t="s">
        <v>7</v>
      </c>
      <c r="J11" s="15">
        <f ca="1">IF(LEN(INDIRECT(ADDRESS(ROW()-1, COLUMN())))=1,"",INDIRECT(ADDRESS(32,6))-INDIRECT(ADDRESS(32,7)))</f>
        <v>9</v>
      </c>
      <c r="K11" s="16">
        <f ca="1">IF(LEN(INDIRECT(ADDRESS(ROW()-1, COLUMN())))=1,"",INDIRECT(ADDRESS(25,7))-INDIRECT(ADDRESS(25,6)))</f>
        <v>-11</v>
      </c>
      <c r="L11" s="84"/>
      <c r="M11" s="15">
        <f ca="1">IF(COUNT(F11:K11)=0,"",SUM(F11:K11))</f>
        <v>-24</v>
      </c>
      <c r="N11" s="83"/>
    </row>
    <row r="12" spans="1:14" ht="24" customHeight="1" x14ac:dyDescent="0.25">
      <c r="A12" s="38" t="s">
        <v>64</v>
      </c>
      <c r="B12" s="78">
        <v>5</v>
      </c>
      <c r="C12" s="75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Воробьева-Кирменская</v>
      </c>
      <c r="D12" s="76"/>
      <c r="E12" s="77"/>
      <c r="F12" s="10" t="str">
        <f ca="1">INDIRECT(ADDRESS(42,6))&amp;":"&amp;INDIRECT(ADDRESS(42,7))</f>
        <v>7:8</v>
      </c>
      <c r="G12" s="5" t="str">
        <f ca="1">INDIRECT(ADDRESS(21,7))&amp;":"&amp;INDIRECT(ADDRESS(21,6))</f>
        <v>5:10</v>
      </c>
      <c r="H12" s="5" t="str">
        <f ca="1">INDIRECT(ADDRESS(26,6))&amp;":"&amp;INDIRECT(ADDRESS(26,7))</f>
        <v>5:8</v>
      </c>
      <c r="I12" s="5" t="str">
        <f ca="1">INDIRECT(ADDRESS(32,7))&amp;":"&amp;INDIRECT(ADDRESS(32,6))</f>
        <v>4:13</v>
      </c>
      <c r="J12" s="6" t="s">
        <v>7</v>
      </c>
      <c r="K12" s="9" t="str">
        <f ca="1">INDIRECT(ADDRESS(35,7))&amp;":"&amp;INDIRECT(ADDRESS(35,6))</f>
        <v>10:9</v>
      </c>
      <c r="L12" s="84">
        <f ca="1">IF(COUNT(F13:K13)=0,"",COUNTIF(F13:K13,"&gt;0")+0.5*COUNTIF(F13:K13,0))</f>
        <v>1</v>
      </c>
      <c r="M12" s="15"/>
      <c r="N12" s="85">
        <v>6</v>
      </c>
    </row>
    <row r="13" spans="1:14" ht="24" customHeight="1" x14ac:dyDescent="0.25">
      <c r="A13" s="38">
        <v>16</v>
      </c>
      <c r="B13" s="71"/>
      <c r="C13" s="75"/>
      <c r="D13" s="76"/>
      <c r="E13" s="77"/>
      <c r="F13" s="21">
        <f ca="1">IF(LEN(INDIRECT(ADDRESS(ROW()-1, COLUMN())))=1,"",INDIRECT(ADDRESS(42,6))-INDIRECT(ADDRESS(42,7)))</f>
        <v>-1</v>
      </c>
      <c r="G13" s="15">
        <f ca="1">IF(LEN(INDIRECT(ADDRESS(ROW()-1, COLUMN())))=1,"",INDIRECT(ADDRESS(21,7))-INDIRECT(ADDRESS(21,6)))</f>
        <v>-5</v>
      </c>
      <c r="H13" s="15">
        <f ca="1">IF(LEN(INDIRECT(ADDRESS(ROW()-1, COLUMN())))=1,"",INDIRECT(ADDRESS(26,6))-INDIRECT(ADDRESS(26,7)))</f>
        <v>-3</v>
      </c>
      <c r="I13" s="15">
        <f ca="1">IF(LEN(INDIRECT(ADDRESS(ROW()-1, COLUMN())))=1,"",INDIRECT(ADDRESS(32,7))-INDIRECT(ADDRESS(32,6)))</f>
        <v>-9</v>
      </c>
      <c r="J13" s="13" t="s">
        <v>7</v>
      </c>
      <c r="K13" s="16">
        <f ca="1">IF(LEN(INDIRECT(ADDRESS(ROW()-1, COLUMN())))=1,"",INDIRECT(ADDRESS(35,7))-INDIRECT(ADDRESS(35,6)))</f>
        <v>1</v>
      </c>
      <c r="L13" s="84"/>
      <c r="M13" s="15">
        <f ca="1">IF(COUNT(F13:K13)=0,"",SUM(F13:K13))</f>
        <v>-17</v>
      </c>
      <c r="N13" s="83"/>
    </row>
    <row r="14" spans="1:14" ht="24" customHeight="1" x14ac:dyDescent="0.25">
      <c r="A14" s="38" t="s">
        <v>64</v>
      </c>
      <c r="B14" s="78">
        <v>6</v>
      </c>
      <c r="C14" s="79" t="str">
        <f ca="1">IF(LEFT(A14,1)="X",IFERROR(INDIRECT(ADDRESS(MATCH(A15,OFFSET(INDIRECT(ADDRESS(1,3,,,A14)),0,0,200,1),0),2,,,A14)),""),IFERROR(INDIRECT(ADDRESS(MATCH(A15,OFFSET(INDIRECT(ADDRESS(3,2,,,A14)),1,6+MAX(OFFSET(INDIRECT(ADDRESS(3,2,,,A14)),0,0,1,20)),2*MAX(OFFSET(INDIRECT(ADDRESS(3,2,,,A14)),0,0,1,20)),1),0)+3,3,,,A14)),""))</f>
        <v>Кузнецова-Тюрина</v>
      </c>
      <c r="D14" s="80"/>
      <c r="E14" s="81"/>
      <c r="F14" s="10" t="str">
        <f ca="1">INDIRECT(ADDRESS(20,7))&amp;":"&amp;INDIRECT(ADDRESS(20,6))</f>
        <v>5:11</v>
      </c>
      <c r="G14" s="5" t="str">
        <f ca="1">INDIRECT(ADDRESS(30,7))&amp;":"&amp;INDIRECT(ADDRESS(30,6))</f>
        <v>11:7</v>
      </c>
      <c r="H14" s="5" t="str">
        <f ca="1">INDIRECT(ADDRESS(40,7))&amp;":"&amp;INDIRECT(ADDRESS(40,6))</f>
        <v>8:7</v>
      </c>
      <c r="I14" s="5" t="str">
        <f ca="1">INDIRECT(ADDRESS(25,6))&amp;":"&amp;INDIRECT(ADDRESS(25,7))</f>
        <v>13:2</v>
      </c>
      <c r="J14" s="5" t="str">
        <f ca="1">INDIRECT(ADDRESS(35,6))&amp;":"&amp;INDIRECT(ADDRESS(35,7))</f>
        <v>9:10</v>
      </c>
      <c r="K14" s="11" t="s">
        <v>7</v>
      </c>
      <c r="L14" s="84">
        <f ca="1">IF(COUNT(F15:K15)=0,"",COUNTIF(F15:K15,"&gt;0")+0.5*COUNTIF(F15:K15,0))</f>
        <v>3</v>
      </c>
      <c r="M14" s="15"/>
      <c r="N14" s="85">
        <v>3</v>
      </c>
    </row>
    <row r="15" spans="1:14" ht="24" customHeight="1" thickBot="1" x14ac:dyDescent="0.3">
      <c r="A15" s="38">
        <v>17</v>
      </c>
      <c r="B15" s="87"/>
      <c r="C15" s="88"/>
      <c r="D15" s="89"/>
      <c r="E15" s="90"/>
      <c r="F15" s="18">
        <f ca="1">IF(LEN(INDIRECT(ADDRESS(ROW()-1, COLUMN())))=1,"",INDIRECT(ADDRESS(20,7))-INDIRECT(ADDRESS(20,6)))</f>
        <v>-6</v>
      </c>
      <c r="G15" s="17">
        <f ca="1">IF(LEN(INDIRECT(ADDRESS(ROW()-1, COLUMN())))=1,"",INDIRECT(ADDRESS(30,7))-INDIRECT(ADDRESS(30,6)))</f>
        <v>4</v>
      </c>
      <c r="H15" s="17">
        <f ca="1">IF(LEN(INDIRECT(ADDRESS(ROW()-1, COLUMN())))=1,"",INDIRECT(ADDRESS(40,7))-INDIRECT(ADDRESS(40,6)))</f>
        <v>1</v>
      </c>
      <c r="I15" s="17">
        <f ca="1">IF(LEN(INDIRECT(ADDRESS(ROW()-1, COLUMN())))=1,"",INDIRECT(ADDRESS(25,6))-INDIRECT(ADDRESS(25,7)))</f>
        <v>11</v>
      </c>
      <c r="J15" s="17">
        <f ca="1">IF(LEN(INDIRECT(ADDRESS(ROW()-1, COLUMN())))=1,"",INDIRECT(ADDRESS(35,6))-INDIRECT(ADDRESS(35,7)))</f>
        <v>-1</v>
      </c>
      <c r="K15" s="14" t="s">
        <v>7</v>
      </c>
      <c r="L15" s="91"/>
      <c r="M15" s="17">
        <f ca="1">IF(COUNT(F15:K15)=0,"",SUM(F15:K15))</f>
        <v>9</v>
      </c>
      <c r="N15" s="92"/>
    </row>
    <row r="16" spans="1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62" t="s">
        <v>4</v>
      </c>
      <c r="C19" s="62"/>
      <c r="D19" s="62"/>
      <c r="E19" s="62"/>
      <c r="F19" s="62"/>
      <c r="G19" s="62"/>
      <c r="H19" s="62"/>
      <c r="I19" s="62"/>
      <c r="J19" s="62"/>
      <c r="K19" s="62"/>
      <c r="M19"/>
    </row>
    <row r="20" spans="2:13" ht="30" customHeight="1" thickBot="1" x14ac:dyDescent="0.4">
      <c r="B20" s="3">
        <v>1</v>
      </c>
      <c r="C20" s="63" t="str">
        <f ca="1">IF(ISBLANK(INDIRECT(ADDRESS(B20*2+2,3))),"",INDIRECT(ADDRESS(B20*2+2,3)))</f>
        <v>Зубова-Мурашова</v>
      </c>
      <c r="D20" s="63"/>
      <c r="E20" s="64"/>
      <c r="F20" s="47">
        <v>11</v>
      </c>
      <c r="G20" s="48">
        <v>5</v>
      </c>
      <c r="H20" s="65" t="str">
        <f ca="1">IF(ISBLANK(INDIRECT(ADDRESS(K20*2+2,3))),"",INDIRECT(ADDRESS(K20*2+2,3)))</f>
        <v>Кузнецова-Тюрина</v>
      </c>
      <c r="I20" s="63"/>
      <c r="J20" s="63"/>
      <c r="K20" s="3">
        <v>6</v>
      </c>
      <c r="L20" s="30" t="s">
        <v>11</v>
      </c>
      <c r="M20" s="42">
        <v>1</v>
      </c>
    </row>
    <row r="21" spans="2:13" ht="30" customHeight="1" thickBot="1" x14ac:dyDescent="0.4">
      <c r="B21" s="3">
        <v>2</v>
      </c>
      <c r="C21" s="63" t="str">
        <f ca="1">IF(ISBLANK(INDIRECT(ADDRESS(B21*2+2,3))),"",INDIRECT(ADDRESS(B21*2+2,3)))</f>
        <v>Багаутдинова-Кондратова</v>
      </c>
      <c r="D21" s="63"/>
      <c r="E21" s="64"/>
      <c r="F21" s="47">
        <v>10</v>
      </c>
      <c r="G21" s="48">
        <v>5</v>
      </c>
      <c r="H21" s="65" t="str">
        <f ca="1">IF(ISBLANK(INDIRECT(ADDRESS(K21*2+2,3))),"",INDIRECT(ADDRESS(K21*2+2,3)))</f>
        <v>Воробьева-Кирменская</v>
      </c>
      <c r="I21" s="63"/>
      <c r="J21" s="63"/>
      <c r="K21" s="3">
        <v>5</v>
      </c>
      <c r="L21" s="30" t="s">
        <v>11</v>
      </c>
      <c r="M21" s="42">
        <v>3</v>
      </c>
    </row>
    <row r="22" spans="2:13" ht="30" customHeight="1" thickBot="1" x14ac:dyDescent="0.4">
      <c r="B22" s="3">
        <v>3</v>
      </c>
      <c r="C22" s="63" t="str">
        <f ca="1">IF(ISBLANK(INDIRECT(ADDRESS(B22*2+2,3))),"",INDIRECT(ADDRESS(B22*2+2,3)))</f>
        <v>Полякова-Трофимова</v>
      </c>
      <c r="D22" s="63"/>
      <c r="E22" s="64"/>
      <c r="F22" s="47">
        <v>13</v>
      </c>
      <c r="G22" s="48">
        <v>6</v>
      </c>
      <c r="H22" s="65" t="str">
        <f ca="1">IF(ISBLANK(INDIRECT(ADDRESS(K22*2+2,3))),"",INDIRECT(ADDRESS(K22*2+2,3)))</f>
        <v>Долгова-Проценко</v>
      </c>
      <c r="I22" s="63"/>
      <c r="J22" s="63"/>
      <c r="K22" s="3">
        <v>4</v>
      </c>
      <c r="L22" s="30" t="s">
        <v>11</v>
      </c>
      <c r="M22" s="42">
        <v>4</v>
      </c>
    </row>
    <row r="23" spans="2:13" ht="30" customHeight="1" x14ac:dyDescent="0.35">
      <c r="M23" s="46"/>
    </row>
    <row r="24" spans="2:13" ht="30" customHeight="1" thickBot="1" x14ac:dyDescent="0.4">
      <c r="B24" s="62" t="s">
        <v>5</v>
      </c>
      <c r="C24" s="62"/>
      <c r="D24" s="62"/>
      <c r="E24" s="62"/>
      <c r="F24" s="62"/>
      <c r="G24" s="62"/>
      <c r="H24" s="62"/>
      <c r="I24" s="62"/>
      <c r="J24" s="62"/>
      <c r="K24" s="62"/>
      <c r="M24" s="46"/>
    </row>
    <row r="25" spans="2:13" ht="30" customHeight="1" thickBot="1" x14ac:dyDescent="0.4">
      <c r="B25" s="3">
        <v>6</v>
      </c>
      <c r="C25" s="63" t="str">
        <f ca="1">IF(ISBLANK(INDIRECT(ADDRESS(B25*2+2,3))),"",INDIRECT(ADDRESS(B25*2+2,3)))</f>
        <v>Кузнецова-Тюрина</v>
      </c>
      <c r="D25" s="63"/>
      <c r="E25" s="64"/>
      <c r="F25" s="47">
        <v>13</v>
      </c>
      <c r="G25" s="48">
        <v>2</v>
      </c>
      <c r="H25" s="65" t="str">
        <f ca="1">IF(ISBLANK(INDIRECT(ADDRESS(K25*2+2,3))),"",INDIRECT(ADDRESS(K25*2+2,3)))</f>
        <v>Долгова-Проценко</v>
      </c>
      <c r="I25" s="63"/>
      <c r="J25" s="63"/>
      <c r="K25" s="3">
        <v>4</v>
      </c>
      <c r="L25" s="30" t="s">
        <v>11</v>
      </c>
      <c r="M25" s="42">
        <v>3</v>
      </c>
    </row>
    <row r="26" spans="2:13" ht="30" customHeight="1" thickBot="1" x14ac:dyDescent="0.4">
      <c r="B26" s="3">
        <v>5</v>
      </c>
      <c r="C26" s="63" t="str">
        <f ca="1">IF(ISBLANK(INDIRECT(ADDRESS(B26*2+2,3))),"",INDIRECT(ADDRESS(B26*2+2,3)))</f>
        <v>Воробьева-Кирменская</v>
      </c>
      <c r="D26" s="63"/>
      <c r="E26" s="64"/>
      <c r="F26" s="47">
        <v>5</v>
      </c>
      <c r="G26" s="48">
        <v>8</v>
      </c>
      <c r="H26" s="65" t="str">
        <f ca="1">IF(ISBLANK(INDIRECT(ADDRESS(K26*2+2,3))),"",INDIRECT(ADDRESS(K26*2+2,3)))</f>
        <v>Полякова-Трофимова</v>
      </c>
      <c r="I26" s="63"/>
      <c r="J26" s="63"/>
      <c r="K26" s="3">
        <v>3</v>
      </c>
      <c r="L26" s="30" t="s">
        <v>11</v>
      </c>
      <c r="M26" s="42">
        <v>1</v>
      </c>
    </row>
    <row r="27" spans="2:13" ht="30" customHeight="1" thickBot="1" x14ac:dyDescent="0.4">
      <c r="B27" s="3">
        <v>1</v>
      </c>
      <c r="C27" s="63" t="str">
        <f ca="1">IF(ISBLANK(INDIRECT(ADDRESS(B27*2+2,3))),"",INDIRECT(ADDRESS(B27*2+2,3)))</f>
        <v>Зубова-Мурашова</v>
      </c>
      <c r="D27" s="63"/>
      <c r="E27" s="64"/>
      <c r="F27" s="47">
        <v>8</v>
      </c>
      <c r="G27" s="48">
        <v>13</v>
      </c>
      <c r="H27" s="65" t="str">
        <f ca="1">IF(ISBLANK(INDIRECT(ADDRESS(K27*2+2,3))),"",INDIRECT(ADDRESS(K27*2+2,3)))</f>
        <v>Багаутдинова-Кондратова</v>
      </c>
      <c r="I27" s="63"/>
      <c r="J27" s="63"/>
      <c r="K27" s="3">
        <v>2</v>
      </c>
      <c r="L27" s="30" t="s">
        <v>11</v>
      </c>
      <c r="M27" s="42">
        <v>6</v>
      </c>
    </row>
    <row r="28" spans="2:13" ht="30" customHeight="1" x14ac:dyDescent="0.35">
      <c r="M28" s="46"/>
    </row>
    <row r="29" spans="2:13" ht="30" customHeight="1" thickBot="1" x14ac:dyDescent="0.4"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M29" s="46"/>
    </row>
    <row r="30" spans="2:13" ht="30" customHeight="1" thickBot="1" x14ac:dyDescent="0.4">
      <c r="B30" s="3">
        <v>2</v>
      </c>
      <c r="C30" s="63" t="str">
        <f ca="1">IF(ISBLANK(INDIRECT(ADDRESS(B30*2+2,3))),"",INDIRECT(ADDRESS(B30*2+2,3)))</f>
        <v>Багаутдинова-Кондратова</v>
      </c>
      <c r="D30" s="63"/>
      <c r="E30" s="64"/>
      <c r="F30" s="47">
        <v>7</v>
      </c>
      <c r="G30" s="48">
        <v>11</v>
      </c>
      <c r="H30" s="65" t="str">
        <f ca="1">IF(ISBLANK(INDIRECT(ADDRESS(K30*2+2,3))),"",INDIRECT(ADDRESS(K30*2+2,3)))</f>
        <v>Кузнецова-Тюрина</v>
      </c>
      <c r="I30" s="63"/>
      <c r="J30" s="63"/>
      <c r="K30" s="3">
        <v>6</v>
      </c>
      <c r="L30" s="30" t="s">
        <v>11</v>
      </c>
      <c r="M30" s="42">
        <v>4</v>
      </c>
    </row>
    <row r="31" spans="2:13" ht="30" customHeight="1" thickBot="1" x14ac:dyDescent="0.4">
      <c r="B31" s="3">
        <v>3</v>
      </c>
      <c r="C31" s="63" t="str">
        <f ca="1">IF(ISBLANK(INDIRECT(ADDRESS(B31*2+2,3))),"",INDIRECT(ADDRESS(B31*2+2,3)))</f>
        <v>Полякова-Трофимова</v>
      </c>
      <c r="D31" s="63"/>
      <c r="E31" s="64"/>
      <c r="F31" s="47">
        <v>5</v>
      </c>
      <c r="G31" s="48">
        <v>8</v>
      </c>
      <c r="H31" s="65" t="str">
        <f ca="1">IF(ISBLANK(INDIRECT(ADDRESS(K31*2+2,3))),"",INDIRECT(ADDRESS(K31*2+2,3)))</f>
        <v>Зубова-Мурашова</v>
      </c>
      <c r="I31" s="63"/>
      <c r="J31" s="63"/>
      <c r="K31" s="3">
        <v>1</v>
      </c>
      <c r="L31" s="30" t="s">
        <v>11</v>
      </c>
      <c r="M31" s="42">
        <v>3</v>
      </c>
    </row>
    <row r="32" spans="2:13" ht="30" customHeight="1" thickBot="1" x14ac:dyDescent="0.4">
      <c r="B32" s="3">
        <v>4</v>
      </c>
      <c r="C32" s="63" t="str">
        <f ca="1">IF(ISBLANK(INDIRECT(ADDRESS(B32*2+2,3))),"",INDIRECT(ADDRESS(B32*2+2,3)))</f>
        <v>Долгова-Проценко</v>
      </c>
      <c r="D32" s="63"/>
      <c r="E32" s="64"/>
      <c r="F32" s="47">
        <v>13</v>
      </c>
      <c r="G32" s="48">
        <v>4</v>
      </c>
      <c r="H32" s="65" t="str">
        <f ca="1">IF(ISBLANK(INDIRECT(ADDRESS(K32*2+2,3))),"",INDIRECT(ADDRESS(K32*2+2,3)))</f>
        <v>Воробьева-Кирменская</v>
      </c>
      <c r="I32" s="63"/>
      <c r="J32" s="63"/>
      <c r="K32" s="3">
        <v>5</v>
      </c>
      <c r="L32" s="30" t="s">
        <v>11</v>
      </c>
      <c r="M32" s="42">
        <v>6</v>
      </c>
    </row>
    <row r="33" spans="2:13" ht="30" customHeight="1" x14ac:dyDescent="0.25">
      <c r="M33" s="3"/>
    </row>
    <row r="34" spans="2:13" ht="30" customHeight="1" thickBot="1" x14ac:dyDescent="0.3">
      <c r="B34" s="62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M34" s="3"/>
    </row>
    <row r="35" spans="2:13" ht="30" customHeight="1" thickBot="1" x14ac:dyDescent="0.4">
      <c r="B35" s="3">
        <v>6</v>
      </c>
      <c r="C35" s="63" t="str">
        <f ca="1">IF(ISBLANK(INDIRECT(ADDRESS(B35*2+2,3))),"",INDIRECT(ADDRESS(B35*2+2,3)))</f>
        <v>Кузнецова-Тюрина</v>
      </c>
      <c r="D35" s="63"/>
      <c r="E35" s="64"/>
      <c r="F35" s="47">
        <v>9</v>
      </c>
      <c r="G35" s="48">
        <v>10</v>
      </c>
      <c r="H35" s="65" t="str">
        <f ca="1">IF(ISBLANK(INDIRECT(ADDRESS(K35*2+2,3))),"",INDIRECT(ADDRESS(K35*2+2,3)))</f>
        <v>Воробьева-Кирменская</v>
      </c>
      <c r="I35" s="63"/>
      <c r="J35" s="63"/>
      <c r="K35" s="3">
        <v>5</v>
      </c>
      <c r="L35" s="30" t="s">
        <v>11</v>
      </c>
      <c r="M35" s="42">
        <v>1</v>
      </c>
    </row>
    <row r="36" spans="2:13" ht="30" customHeight="1" thickBot="1" x14ac:dyDescent="0.4">
      <c r="B36" s="3">
        <v>1</v>
      </c>
      <c r="C36" s="63" t="str">
        <f ca="1">IF(ISBLANK(INDIRECT(ADDRESS(B36*2+2,3))),"",INDIRECT(ADDRESS(B36*2+2,3)))</f>
        <v>Зубова-Мурашова</v>
      </c>
      <c r="D36" s="63"/>
      <c r="E36" s="64"/>
      <c r="F36" s="47">
        <v>13</v>
      </c>
      <c r="G36" s="48">
        <v>0</v>
      </c>
      <c r="H36" s="65" t="str">
        <f ca="1">IF(ISBLANK(INDIRECT(ADDRESS(K36*2+2,3))),"",INDIRECT(ADDRESS(K36*2+2,3)))</f>
        <v>Долгова-Проценко</v>
      </c>
      <c r="I36" s="63"/>
      <c r="J36" s="63"/>
      <c r="K36" s="3">
        <v>4</v>
      </c>
      <c r="L36" s="30" t="s">
        <v>11</v>
      </c>
      <c r="M36" s="42">
        <v>4</v>
      </c>
    </row>
    <row r="37" spans="2:13" ht="30" customHeight="1" thickBot="1" x14ac:dyDescent="0.4">
      <c r="B37" s="3">
        <v>2</v>
      </c>
      <c r="C37" s="63" t="str">
        <f ca="1">IF(ISBLANK(INDIRECT(ADDRESS(B37*2+2,3))),"",INDIRECT(ADDRESS(B37*2+2,3)))</f>
        <v>Багаутдинова-Кондратова</v>
      </c>
      <c r="D37" s="63"/>
      <c r="E37" s="64"/>
      <c r="F37" s="47">
        <v>11</v>
      </c>
      <c r="G37" s="48">
        <v>4</v>
      </c>
      <c r="H37" s="65" t="str">
        <f ca="1">IF(ISBLANK(INDIRECT(ADDRESS(K37*2+2,3))),"",INDIRECT(ADDRESS(K37*2+2,3)))</f>
        <v>Полякова-Трофимова</v>
      </c>
      <c r="I37" s="63"/>
      <c r="J37" s="63"/>
      <c r="K37" s="3">
        <v>3</v>
      </c>
      <c r="L37" s="30" t="s">
        <v>11</v>
      </c>
      <c r="M37" s="42">
        <v>6</v>
      </c>
    </row>
    <row r="38" spans="2:13" ht="30" customHeight="1" x14ac:dyDescent="0.35">
      <c r="M38" s="46"/>
    </row>
    <row r="39" spans="2:13" ht="30" customHeight="1" thickBot="1" x14ac:dyDescent="0.4">
      <c r="B39" s="62" t="s">
        <v>9</v>
      </c>
      <c r="C39" s="62"/>
      <c r="D39" s="62"/>
      <c r="E39" s="62"/>
      <c r="F39" s="62"/>
      <c r="G39" s="62"/>
      <c r="H39" s="62"/>
      <c r="I39" s="62"/>
      <c r="J39" s="62"/>
      <c r="K39" s="62"/>
      <c r="M39" s="46"/>
    </row>
    <row r="40" spans="2:13" ht="30" customHeight="1" thickBot="1" x14ac:dyDescent="0.4">
      <c r="B40" s="3">
        <v>3</v>
      </c>
      <c r="C40" s="63" t="str">
        <f ca="1">IF(ISBLANK(INDIRECT(ADDRESS(B40*2+2,3))),"",INDIRECT(ADDRESS(B40*2+2,3)))</f>
        <v>Полякова-Трофимова</v>
      </c>
      <c r="D40" s="63"/>
      <c r="E40" s="64"/>
      <c r="F40" s="47">
        <v>7</v>
      </c>
      <c r="G40" s="48">
        <v>8</v>
      </c>
      <c r="H40" s="65" t="str">
        <f ca="1">IF(ISBLANK(INDIRECT(ADDRESS(K40*2+2,3))),"",INDIRECT(ADDRESS(K40*2+2,3)))</f>
        <v>Кузнецова-Тюрина</v>
      </c>
      <c r="I40" s="63"/>
      <c r="J40" s="63"/>
      <c r="K40" s="3">
        <v>6</v>
      </c>
      <c r="L40" s="30" t="s">
        <v>11</v>
      </c>
      <c r="M40" s="42">
        <v>4</v>
      </c>
    </row>
    <row r="41" spans="2:13" ht="30" customHeight="1" thickBot="1" x14ac:dyDescent="0.4">
      <c r="B41" s="3">
        <v>4</v>
      </c>
      <c r="C41" s="63" t="str">
        <f ca="1">IF(ISBLANK(INDIRECT(ADDRESS(B41*2+2,3))),"",INDIRECT(ADDRESS(B41*2+2,3)))</f>
        <v>Долгова-Проценко</v>
      </c>
      <c r="D41" s="63"/>
      <c r="E41" s="64"/>
      <c r="F41" s="47">
        <v>7</v>
      </c>
      <c r="G41" s="48">
        <v>9</v>
      </c>
      <c r="H41" s="65" t="str">
        <f ca="1">IF(ISBLANK(INDIRECT(ADDRESS(K41*2+2,3))),"",INDIRECT(ADDRESS(K41*2+2,3)))</f>
        <v>Багаутдинова-Кондратова</v>
      </c>
      <c r="I41" s="63"/>
      <c r="J41" s="63"/>
      <c r="K41" s="3">
        <v>2</v>
      </c>
      <c r="L41" s="30" t="s">
        <v>11</v>
      </c>
      <c r="M41" s="42">
        <v>1</v>
      </c>
    </row>
    <row r="42" spans="2:13" ht="30" customHeight="1" thickBot="1" x14ac:dyDescent="0.4">
      <c r="B42" s="3">
        <v>5</v>
      </c>
      <c r="C42" s="63" t="str">
        <f ca="1">IF(ISBLANK(INDIRECT(ADDRESS(B42*2+2,3))),"",INDIRECT(ADDRESS(B42*2+2,3)))</f>
        <v>Воробьева-Кирменская</v>
      </c>
      <c r="D42" s="63"/>
      <c r="E42" s="64"/>
      <c r="F42" s="47">
        <v>7</v>
      </c>
      <c r="G42" s="48">
        <v>8</v>
      </c>
      <c r="H42" s="65" t="str">
        <f ca="1">IF(ISBLANK(INDIRECT(ADDRESS(K42*2+2,3))),"",INDIRECT(ADDRESS(K42*2+2,3)))</f>
        <v>Зубова-Мурашова</v>
      </c>
      <c r="I42" s="63"/>
      <c r="J42" s="63"/>
      <c r="K42" s="3">
        <v>1</v>
      </c>
      <c r="L42" s="30" t="s">
        <v>11</v>
      </c>
      <c r="M42" s="42">
        <v>3</v>
      </c>
    </row>
    <row r="43" spans="2:13" x14ac:dyDescent="0.25">
      <c r="M43" s="3"/>
    </row>
  </sheetData>
  <mergeCells count="61">
    <mergeCell ref="B8:B9"/>
    <mergeCell ref="C8:E9"/>
    <mergeCell ref="B10:B11"/>
    <mergeCell ref="C10:E11"/>
    <mergeCell ref="B1:K1"/>
    <mergeCell ref="B6:B7"/>
    <mergeCell ref="C6:E7"/>
    <mergeCell ref="C3:E3"/>
    <mergeCell ref="B4:B5"/>
    <mergeCell ref="C4:E5"/>
    <mergeCell ref="C22:E22"/>
    <mergeCell ref="H22:J22"/>
    <mergeCell ref="B24:K24"/>
    <mergeCell ref="C25:E25"/>
    <mergeCell ref="H25:J25"/>
    <mergeCell ref="B19:K19"/>
    <mergeCell ref="C20:E20"/>
    <mergeCell ref="H20:J20"/>
    <mergeCell ref="C21:E21"/>
    <mergeCell ref="H21:J21"/>
    <mergeCell ref="C26:E26"/>
    <mergeCell ref="H26:J26"/>
    <mergeCell ref="C27:E27"/>
    <mergeCell ref="H27:J27"/>
    <mergeCell ref="B29:K29"/>
    <mergeCell ref="C35:E35"/>
    <mergeCell ref="H35:J35"/>
    <mergeCell ref="C30:E30"/>
    <mergeCell ref="H30:J30"/>
    <mergeCell ref="C31:E31"/>
    <mergeCell ref="H31:J31"/>
    <mergeCell ref="C32:E32"/>
    <mergeCell ref="H32:J32"/>
    <mergeCell ref="B34:K34"/>
    <mergeCell ref="N4:N5"/>
    <mergeCell ref="L6:L7"/>
    <mergeCell ref="N6:N7"/>
    <mergeCell ref="L8:L9"/>
    <mergeCell ref="N8:N9"/>
    <mergeCell ref="L4:L5"/>
    <mergeCell ref="N10:N11"/>
    <mergeCell ref="L12:L13"/>
    <mergeCell ref="N12:N13"/>
    <mergeCell ref="B14:B15"/>
    <mergeCell ref="C14:E15"/>
    <mergeCell ref="L14:L15"/>
    <mergeCell ref="N14:N15"/>
    <mergeCell ref="B12:B13"/>
    <mergeCell ref="C12:E13"/>
    <mergeCell ref="L10:L11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42:E42"/>
    <mergeCell ref="H42:J42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zoomScaleNormal="100" workbookViewId="0">
      <selection activeCell="N18" sqref="N18:O18"/>
    </sheetView>
  </sheetViews>
  <sheetFormatPr defaultRowHeight="15" customHeight="1" x14ac:dyDescent="0.25"/>
  <cols>
    <col min="1" max="1" width="9.140625" style="34"/>
    <col min="2" max="15" width="9.140625" style="25" customWidth="1"/>
    <col min="16" max="16384" width="9.140625" style="25"/>
  </cols>
  <sheetData>
    <row r="1" spans="1:13" ht="45" x14ac:dyDescent="0.25">
      <c r="B1" s="108" t="s">
        <v>13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3" ht="15" customHeight="1" x14ac:dyDescent="0.25">
      <c r="C2" s="31"/>
    </row>
    <row r="3" spans="1:13" ht="15" customHeight="1" x14ac:dyDescent="0.25">
      <c r="C3" s="31"/>
    </row>
    <row r="4" spans="1:13" ht="18.75" x14ac:dyDescent="0.25">
      <c r="A4" s="34" t="s">
        <v>14</v>
      </c>
      <c r="B4" s="109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Елсакова-Зимина</v>
      </c>
      <c r="C4" s="110"/>
      <c r="D4" s="24">
        <v>13</v>
      </c>
      <c r="E4" s="26"/>
    </row>
    <row r="5" spans="1:13" ht="15" customHeight="1" x14ac:dyDescent="0.25">
      <c r="A5" s="34">
        <v>1</v>
      </c>
      <c r="C5" s="31"/>
      <c r="E5" s="27"/>
    </row>
    <row r="6" spans="1:13" ht="18.75" x14ac:dyDescent="0.25">
      <c r="B6" s="30" t="s">
        <v>11</v>
      </c>
      <c r="C6" s="31">
        <v>1</v>
      </c>
      <c r="E6" s="28"/>
      <c r="F6" s="111" t="str">
        <f ca="1">IF(ISBLANK(D4),"",IF(D4&gt;D8,B4,B8))</f>
        <v>Елсакова-Зимина</v>
      </c>
      <c r="G6" s="110"/>
      <c r="H6" s="24">
        <v>3</v>
      </c>
      <c r="I6" s="26"/>
    </row>
    <row r="7" spans="1:13" ht="15" customHeight="1" x14ac:dyDescent="0.25">
      <c r="C7" s="31"/>
      <c r="E7" s="28"/>
      <c r="I7" s="27"/>
    </row>
    <row r="8" spans="1:13" ht="18.75" x14ac:dyDescent="0.25">
      <c r="A8" s="34" t="s">
        <v>15</v>
      </c>
      <c r="B8" s="109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Кузнецова-Тюрина</v>
      </c>
      <c r="C8" s="110"/>
      <c r="D8" s="24">
        <v>4</v>
      </c>
      <c r="E8" s="29"/>
      <c r="I8" s="28"/>
    </row>
    <row r="9" spans="1:13" ht="15" customHeight="1" x14ac:dyDescent="0.25">
      <c r="A9" s="34">
        <v>3</v>
      </c>
      <c r="C9" s="31"/>
      <c r="I9" s="28"/>
    </row>
    <row r="10" spans="1:13" ht="18.75" x14ac:dyDescent="0.25">
      <c r="C10" s="31"/>
      <c r="G10" s="30" t="s">
        <v>11</v>
      </c>
      <c r="H10" s="31">
        <v>1</v>
      </c>
      <c r="I10" s="28"/>
      <c r="J10" s="111" t="str">
        <f ca="1">IF(ISBLANK(H6),"",IF(H6&gt;H14,F6,F14))</f>
        <v>Зубова-Мурашова</v>
      </c>
      <c r="K10" s="109"/>
      <c r="L10" s="24">
        <v>13</v>
      </c>
      <c r="M10" s="26"/>
    </row>
    <row r="11" spans="1:13" ht="15" customHeight="1" x14ac:dyDescent="0.25">
      <c r="C11" s="31"/>
      <c r="I11" s="28"/>
      <c r="M11" s="27"/>
    </row>
    <row r="12" spans="1:13" ht="18.75" x14ac:dyDescent="0.25">
      <c r="A12" s="34" t="s">
        <v>15</v>
      </c>
      <c r="B12" s="109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Зубова-Мурашова</v>
      </c>
      <c r="C12" s="110"/>
      <c r="D12" s="24">
        <v>13</v>
      </c>
      <c r="E12" s="26"/>
      <c r="I12" s="28"/>
      <c r="M12" s="28"/>
    </row>
    <row r="13" spans="1:13" ht="15" customHeight="1" x14ac:dyDescent="0.25">
      <c r="A13" s="34">
        <v>2</v>
      </c>
      <c r="C13" s="31"/>
      <c r="E13" s="27"/>
      <c r="I13" s="28"/>
      <c r="M13" s="28"/>
    </row>
    <row r="14" spans="1:13" ht="18.75" x14ac:dyDescent="0.25">
      <c r="B14" s="30" t="s">
        <v>11</v>
      </c>
      <c r="C14" s="31">
        <v>3</v>
      </c>
      <c r="E14" s="28"/>
      <c r="F14" s="111" t="str">
        <f ca="1">IF(ISBLANK(D12),"",IF(D12&gt;D16,B12,B16))</f>
        <v>Зубова-Мурашова</v>
      </c>
      <c r="G14" s="110"/>
      <c r="H14" s="24">
        <v>13</v>
      </c>
      <c r="I14" s="29"/>
      <c r="M14" s="28"/>
    </row>
    <row r="15" spans="1:13" ht="15" customHeight="1" x14ac:dyDescent="0.25">
      <c r="E15" s="28"/>
      <c r="M15" s="28"/>
    </row>
    <row r="16" spans="1:13" ht="18.75" x14ac:dyDescent="0.25">
      <c r="A16" s="34" t="s">
        <v>16</v>
      </c>
      <c r="B16" s="109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Артюхина-Бирюкова</v>
      </c>
      <c r="C16" s="110"/>
      <c r="D16" s="24">
        <v>9</v>
      </c>
      <c r="E16" s="29"/>
      <c r="M16" s="28"/>
    </row>
    <row r="17" spans="1:15" ht="15" customHeight="1" x14ac:dyDescent="0.25">
      <c r="A17" s="34">
        <v>2</v>
      </c>
      <c r="M17" s="28"/>
    </row>
    <row r="18" spans="1:15" ht="18.75" x14ac:dyDescent="0.25">
      <c r="B18" s="30"/>
      <c r="K18" s="30" t="s">
        <v>11</v>
      </c>
      <c r="L18" s="31">
        <v>3</v>
      </c>
      <c r="M18" s="28"/>
      <c r="N18" s="113" t="str">
        <f ca="1">IF(ISBLANK(L10),"",IF(L10&gt;L26,J10,J26))</f>
        <v>Зубова-Мурашова</v>
      </c>
      <c r="O18" s="114"/>
    </row>
    <row r="19" spans="1:15" ht="15" customHeight="1" x14ac:dyDescent="0.25">
      <c r="M19" s="28"/>
    </row>
    <row r="20" spans="1:15" ht="18.75" x14ac:dyDescent="0.25">
      <c r="A20" s="34" t="s">
        <v>15</v>
      </c>
      <c r="B20" s="109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Багаутдинова-Кондратова</v>
      </c>
      <c r="C20" s="110"/>
      <c r="D20" s="24">
        <v>0</v>
      </c>
      <c r="E20" s="26"/>
      <c r="M20" s="28"/>
    </row>
    <row r="21" spans="1:15" ht="15" customHeight="1" x14ac:dyDescent="0.25">
      <c r="A21" s="34">
        <v>1</v>
      </c>
      <c r="E21" s="27"/>
      <c r="M21" s="28"/>
    </row>
    <row r="22" spans="1:15" ht="18.75" x14ac:dyDescent="0.25">
      <c r="B22" s="30" t="s">
        <v>11</v>
      </c>
      <c r="C22" s="31">
        <v>4</v>
      </c>
      <c r="E22" s="28"/>
      <c r="F22" s="111" t="str">
        <f ca="1">IF(ISBLANK(D20),"",IF(D20&gt;D24,B20,B24))</f>
        <v>Павлова-Соколова</v>
      </c>
      <c r="G22" s="110"/>
      <c r="H22" s="24">
        <v>13</v>
      </c>
      <c r="I22" s="26"/>
      <c r="M22" s="28"/>
    </row>
    <row r="23" spans="1:15" ht="15" customHeight="1" x14ac:dyDescent="0.25">
      <c r="E23" s="28"/>
      <c r="I23" s="27"/>
      <c r="M23" s="28"/>
    </row>
    <row r="24" spans="1:15" ht="18.75" x14ac:dyDescent="0.25">
      <c r="A24" s="34" t="s">
        <v>14</v>
      </c>
      <c r="B24" s="109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Павлова-Соколова</v>
      </c>
      <c r="C24" s="110"/>
      <c r="D24" s="24">
        <v>13</v>
      </c>
      <c r="E24" s="29"/>
      <c r="I24" s="28"/>
      <c r="M24" s="28"/>
    </row>
    <row r="25" spans="1:15" ht="15" customHeight="1" x14ac:dyDescent="0.25">
      <c r="A25" s="34">
        <v>2</v>
      </c>
      <c r="I25" s="28"/>
      <c r="M25" s="28"/>
    </row>
    <row r="26" spans="1:15" ht="18.75" x14ac:dyDescent="0.25">
      <c r="G26" s="30" t="s">
        <v>11</v>
      </c>
      <c r="H26" s="31">
        <v>3</v>
      </c>
      <c r="I26" s="28"/>
      <c r="J26" s="111" t="str">
        <f ca="1">IF(ISBLANK(H22),"",IF(H22&gt;H30,F22,F30))</f>
        <v>Павлова-Соколова</v>
      </c>
      <c r="K26" s="110"/>
      <c r="L26" s="24">
        <v>3</v>
      </c>
      <c r="M26" s="29"/>
    </row>
    <row r="27" spans="1:15" ht="15" customHeight="1" x14ac:dyDescent="0.25">
      <c r="I27" s="28"/>
    </row>
    <row r="28" spans="1:15" ht="18.75" x14ac:dyDescent="0.25">
      <c r="A28" s="34" t="s">
        <v>16</v>
      </c>
      <c r="B28" s="109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Савченко-Дубовицкая</v>
      </c>
      <c r="C28" s="110"/>
      <c r="D28" s="24">
        <v>12</v>
      </c>
      <c r="E28" s="26"/>
      <c r="I28" s="28"/>
    </row>
    <row r="29" spans="1:15" ht="15" customHeight="1" x14ac:dyDescent="0.25">
      <c r="A29" s="34">
        <v>1</v>
      </c>
      <c r="E29" s="27"/>
      <c r="I29" s="28"/>
    </row>
    <row r="30" spans="1:15" ht="18.75" x14ac:dyDescent="0.25">
      <c r="B30" s="30" t="s">
        <v>11</v>
      </c>
      <c r="C30" s="31">
        <v>6</v>
      </c>
      <c r="E30" s="28"/>
      <c r="F30" s="111" t="str">
        <f ca="1">IF(ISBLANK(D28),"",IF(D28&gt;D32,B28,B32))</f>
        <v>Савченко-Дубовицкая</v>
      </c>
      <c r="G30" s="110"/>
      <c r="H30" s="24">
        <v>12</v>
      </c>
      <c r="I30" s="29"/>
    </row>
    <row r="31" spans="1:15" ht="15" customHeight="1" x14ac:dyDescent="0.25">
      <c r="E31" s="28"/>
    </row>
    <row r="32" spans="1:15" ht="18.75" x14ac:dyDescent="0.25">
      <c r="A32" s="34" t="s">
        <v>14</v>
      </c>
      <c r="B32" s="109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Березнеговская-Кузнецова</v>
      </c>
      <c r="C32" s="110"/>
      <c r="D32" s="24">
        <v>11</v>
      </c>
      <c r="E32" s="29"/>
    </row>
    <row r="33" spans="1:7" x14ac:dyDescent="0.25">
      <c r="A33" s="34">
        <v>3</v>
      </c>
    </row>
    <row r="34" spans="1:7" ht="15" customHeight="1" x14ac:dyDescent="0.25">
      <c r="B34" s="44" t="s">
        <v>71</v>
      </c>
    </row>
    <row r="36" spans="1:7" ht="18.75" x14ac:dyDescent="0.25">
      <c r="B36" s="109" t="str">
        <f ca="1">IF(ISBLANK(H6),"",IF(H6&gt;H14,F14,F6))</f>
        <v>Елсакова-Зимина</v>
      </c>
      <c r="C36" s="110"/>
      <c r="D36" s="24">
        <v>10</v>
      </c>
      <c r="E36" s="26"/>
      <c r="F36" s="112"/>
      <c r="G36" s="112"/>
    </row>
    <row r="37" spans="1:7" ht="15" customHeight="1" x14ac:dyDescent="0.25">
      <c r="E37" s="27"/>
    </row>
    <row r="38" spans="1:7" ht="18.75" x14ac:dyDescent="0.25">
      <c r="C38" s="30" t="s">
        <v>11</v>
      </c>
      <c r="D38" s="25">
        <v>1</v>
      </c>
      <c r="E38" s="28"/>
      <c r="F38" s="111" t="str">
        <f ca="1">IF(ISBLANK(D36),"",IF(D36&gt;D40,B36,B40))</f>
        <v>Савченко-Дубовицкая</v>
      </c>
      <c r="G38" s="109"/>
    </row>
    <row r="39" spans="1:7" ht="15" customHeight="1" x14ac:dyDescent="0.25">
      <c r="E39" s="28"/>
    </row>
    <row r="40" spans="1:7" ht="18.75" x14ac:dyDescent="0.25">
      <c r="B40" s="109" t="str">
        <f ca="1">IF(ISBLANK(H22),"",IF(H22&gt;H30,F30,F22))</f>
        <v>Савченко-Дубовицкая</v>
      </c>
      <c r="C40" s="110"/>
      <c r="D40" s="24">
        <v>13</v>
      </c>
      <c r="E40" s="29"/>
    </row>
  </sheetData>
  <mergeCells count="20"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B12:C12"/>
    <mergeCell ref="N18:O18"/>
    <mergeCell ref="B20:C20"/>
    <mergeCell ref="F22:G22"/>
    <mergeCell ref="B16:C16"/>
    <mergeCell ref="F14:G14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90" zoomScaleNormal="90" workbookViewId="0">
      <selection activeCell="G43" sqref="G43"/>
    </sheetView>
  </sheetViews>
  <sheetFormatPr defaultRowHeight="15" x14ac:dyDescent="0.25"/>
  <cols>
    <col min="1" max="1" width="9.140625" style="43"/>
    <col min="2" max="15" width="9.140625" style="25" customWidth="1"/>
    <col min="16" max="16384" width="9.140625" style="25"/>
  </cols>
  <sheetData>
    <row r="1" spans="1:13" ht="45" x14ac:dyDescent="0.25">
      <c r="B1" s="108" t="s">
        <v>70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3" ht="15" customHeight="1" x14ac:dyDescent="0.25">
      <c r="C2" s="31"/>
    </row>
    <row r="3" spans="1:13" ht="15" customHeight="1" x14ac:dyDescent="0.25">
      <c r="C3" s="31"/>
    </row>
    <row r="4" spans="1:13" ht="18.75" x14ac:dyDescent="0.25">
      <c r="A4" s="43" t="s">
        <v>72</v>
      </c>
      <c r="B4" s="109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Баринова-Петрушко</v>
      </c>
      <c r="C4" s="110"/>
      <c r="D4" s="24">
        <v>2</v>
      </c>
      <c r="E4" s="26"/>
    </row>
    <row r="5" spans="1:13" ht="15" customHeight="1" x14ac:dyDescent="0.25">
      <c r="A5" s="43">
        <v>4</v>
      </c>
      <c r="C5" s="31"/>
      <c r="E5" s="27"/>
    </row>
    <row r="6" spans="1:13" ht="18.75" x14ac:dyDescent="0.25">
      <c r="B6" s="30" t="s">
        <v>11</v>
      </c>
      <c r="C6" s="31">
        <v>1</v>
      </c>
      <c r="E6" s="28"/>
      <c r="F6" s="111" t="str">
        <f ca="1">IF(ISBLANK(D4),"",IF(D4&gt;D8,B4,B8))</f>
        <v>Воробьева-Кирменская</v>
      </c>
      <c r="G6" s="110"/>
      <c r="H6" s="24">
        <v>9</v>
      </c>
      <c r="I6" s="26"/>
    </row>
    <row r="7" spans="1:13" ht="15" customHeight="1" x14ac:dyDescent="0.25">
      <c r="C7" s="31"/>
      <c r="E7" s="28"/>
      <c r="I7" s="27"/>
    </row>
    <row r="8" spans="1:13" ht="18.75" x14ac:dyDescent="0.25">
      <c r="A8" s="43" t="s">
        <v>74</v>
      </c>
      <c r="B8" s="109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Воробьева-Кирменская</v>
      </c>
      <c r="C8" s="110"/>
      <c r="D8" s="24">
        <v>13</v>
      </c>
      <c r="E8" s="29"/>
      <c r="I8" s="28"/>
    </row>
    <row r="9" spans="1:13" ht="15" customHeight="1" x14ac:dyDescent="0.25">
      <c r="A9" s="43">
        <v>6</v>
      </c>
      <c r="C9" s="31"/>
      <c r="I9" s="28"/>
    </row>
    <row r="10" spans="1:13" ht="18.75" x14ac:dyDescent="0.25">
      <c r="C10" s="31"/>
      <c r="G10" s="30" t="s">
        <v>11</v>
      </c>
      <c r="H10" s="31">
        <v>4</v>
      </c>
      <c r="I10" s="28"/>
      <c r="J10" s="111" t="str">
        <f ca="1">IF(ISBLANK(H6),"",IF(H6&gt;H14,F6,F14))</f>
        <v>Воробьева-Кирменская</v>
      </c>
      <c r="K10" s="109"/>
      <c r="L10" s="24">
        <v>13</v>
      </c>
      <c r="M10" s="26"/>
    </row>
    <row r="11" spans="1:13" ht="15" customHeight="1" x14ac:dyDescent="0.25">
      <c r="C11" s="31"/>
      <c r="I11" s="28"/>
      <c r="M11" s="27"/>
    </row>
    <row r="12" spans="1:13" ht="18.75" x14ac:dyDescent="0.25">
      <c r="A12" s="43" t="s">
        <v>73</v>
      </c>
      <c r="B12" s="109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Алкина-Грачанац</v>
      </c>
      <c r="C12" s="110"/>
      <c r="D12" s="24">
        <v>13</v>
      </c>
      <c r="E12" s="26"/>
      <c r="I12" s="28"/>
      <c r="M12" s="28"/>
    </row>
    <row r="13" spans="1:13" ht="15" customHeight="1" x14ac:dyDescent="0.25">
      <c r="A13" s="43">
        <v>4</v>
      </c>
      <c r="C13" s="31"/>
      <c r="E13" s="27"/>
      <c r="I13" s="28"/>
      <c r="M13" s="28"/>
    </row>
    <row r="14" spans="1:13" ht="18.75" x14ac:dyDescent="0.25">
      <c r="B14" s="30" t="s">
        <v>11</v>
      </c>
      <c r="C14" s="31">
        <v>3</v>
      </c>
      <c r="E14" s="28"/>
      <c r="F14" s="111" t="str">
        <f ca="1">IF(ISBLANK(D12),"",IF(D12&gt;D16,B12,B16))</f>
        <v>Алкина-Грачанац</v>
      </c>
      <c r="G14" s="110"/>
      <c r="H14" s="24">
        <v>8</v>
      </c>
      <c r="I14" s="29"/>
      <c r="M14" s="28"/>
    </row>
    <row r="15" spans="1:13" ht="15" customHeight="1" x14ac:dyDescent="0.25">
      <c r="E15" s="28"/>
      <c r="M15" s="28"/>
    </row>
    <row r="16" spans="1:13" ht="18.75" x14ac:dyDescent="0.25">
      <c r="A16" s="43" t="s">
        <v>74</v>
      </c>
      <c r="B16" s="109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Долгова-Проценко</v>
      </c>
      <c r="C16" s="110"/>
      <c r="D16" s="24">
        <v>3</v>
      </c>
      <c r="E16" s="29"/>
      <c r="M16" s="28"/>
    </row>
    <row r="17" spans="1:15" ht="15" customHeight="1" x14ac:dyDescent="0.25">
      <c r="A17" s="43">
        <v>5</v>
      </c>
      <c r="M17" s="28"/>
    </row>
    <row r="18" spans="1:15" ht="18.75" x14ac:dyDescent="0.25">
      <c r="B18" s="30"/>
      <c r="K18" s="30" t="s">
        <v>11</v>
      </c>
      <c r="L18" s="31">
        <v>4</v>
      </c>
      <c r="M18" s="28"/>
      <c r="N18" s="111" t="str">
        <f ca="1">IF(ISBLANK(L10),"",IF(L10&gt;L26,J10,J26))</f>
        <v>Воробьева-Кирменская</v>
      </c>
      <c r="O18" s="109"/>
    </row>
    <row r="19" spans="1:15" ht="15" customHeight="1" x14ac:dyDescent="0.25">
      <c r="M19" s="28"/>
    </row>
    <row r="20" spans="1:15" ht="18.75" x14ac:dyDescent="0.25">
      <c r="A20" s="61" t="s">
        <v>74</v>
      </c>
      <c r="B20" s="109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Полякова-Трофимова</v>
      </c>
      <c r="C20" s="110"/>
      <c r="D20" s="24">
        <v>6</v>
      </c>
      <c r="E20" s="26"/>
      <c r="M20" s="28"/>
    </row>
    <row r="21" spans="1:15" ht="15" customHeight="1" x14ac:dyDescent="0.25">
      <c r="A21" s="61">
        <v>4</v>
      </c>
      <c r="E21" s="27"/>
      <c r="M21" s="28"/>
    </row>
    <row r="22" spans="1:15" ht="18.75" x14ac:dyDescent="0.25">
      <c r="B22" s="30" t="s">
        <v>11</v>
      </c>
      <c r="C22" s="31">
        <v>4</v>
      </c>
      <c r="E22" s="28"/>
      <c r="F22" s="111" t="str">
        <f ca="1">IF(ISBLANK(D20),"",IF(D20&gt;D24,B20,B24))</f>
        <v>Коппа-Лукьянова</v>
      </c>
      <c r="G22" s="110"/>
      <c r="H22" s="24">
        <v>8</v>
      </c>
      <c r="I22" s="26"/>
      <c r="M22" s="28"/>
    </row>
    <row r="23" spans="1:15" ht="15" customHeight="1" x14ac:dyDescent="0.25">
      <c r="E23" s="28"/>
      <c r="I23" s="27"/>
      <c r="M23" s="28"/>
    </row>
    <row r="24" spans="1:15" ht="18.75" x14ac:dyDescent="0.25">
      <c r="A24" s="43" t="s">
        <v>72</v>
      </c>
      <c r="B24" s="109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Коппа-Лукьянова</v>
      </c>
      <c r="C24" s="110"/>
      <c r="D24" s="24">
        <v>12</v>
      </c>
      <c r="E24" s="29"/>
      <c r="I24" s="28"/>
      <c r="M24" s="28"/>
    </row>
    <row r="25" spans="1:15" ht="15" customHeight="1" x14ac:dyDescent="0.25">
      <c r="A25" s="43">
        <v>5</v>
      </c>
      <c r="I25" s="28"/>
      <c r="M25" s="28"/>
    </row>
    <row r="26" spans="1:15" ht="18.75" x14ac:dyDescent="0.25">
      <c r="A26" s="45"/>
      <c r="B26" s="45"/>
      <c r="C26" s="45"/>
      <c r="D26" s="45"/>
      <c r="E26" s="45"/>
      <c r="F26" s="45"/>
      <c r="G26" s="30" t="s">
        <v>11</v>
      </c>
      <c r="H26" s="31">
        <v>6</v>
      </c>
      <c r="I26" s="28"/>
      <c r="J26" s="111" t="str">
        <f ca="1">IF(ISBLANK(H22),"",IF(H22&gt;H30,F22,F30))</f>
        <v>Гуменюк-Елсакова</v>
      </c>
      <c r="K26" s="110"/>
      <c r="L26" s="24">
        <v>6</v>
      </c>
      <c r="M26" s="29"/>
    </row>
    <row r="27" spans="1:15" ht="15" customHeight="1" x14ac:dyDescent="0.25">
      <c r="I27" s="28"/>
    </row>
    <row r="28" spans="1:15" ht="18.75" x14ac:dyDescent="0.25">
      <c r="A28" s="61" t="s">
        <v>73</v>
      </c>
      <c r="B28" s="109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Гуменюк-Елсакова</v>
      </c>
      <c r="C28" s="110"/>
      <c r="D28" s="24">
        <v>13</v>
      </c>
      <c r="E28" s="26"/>
      <c r="I28" s="28"/>
    </row>
    <row r="29" spans="1:15" ht="15" customHeight="1" x14ac:dyDescent="0.25">
      <c r="A29" s="61">
        <v>3</v>
      </c>
      <c r="E29" s="27"/>
      <c r="I29" s="28"/>
    </row>
    <row r="30" spans="1:15" ht="18.75" x14ac:dyDescent="0.25">
      <c r="B30" s="30" t="s">
        <v>11</v>
      </c>
      <c r="C30" s="31">
        <v>6</v>
      </c>
      <c r="E30" s="28"/>
      <c r="F30" s="111" t="str">
        <f ca="1">IF(ISBLANK(D28),"",IF(D28&gt;D32,B28,B32))</f>
        <v>Гуменюк-Елсакова</v>
      </c>
      <c r="G30" s="110"/>
      <c r="H30" s="24">
        <v>11</v>
      </c>
      <c r="I30" s="29"/>
    </row>
    <row r="31" spans="1:15" ht="15" customHeight="1" x14ac:dyDescent="0.25">
      <c r="E31" s="28"/>
    </row>
    <row r="32" spans="1:15" ht="18.75" x14ac:dyDescent="0.25">
      <c r="A32" s="43" t="s">
        <v>72</v>
      </c>
      <c r="B32" s="109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Карепова-Таратина</v>
      </c>
      <c r="C32" s="110"/>
      <c r="D32" s="24">
        <v>4</v>
      </c>
      <c r="E32" s="29"/>
    </row>
    <row r="33" spans="1:14" x14ac:dyDescent="0.25">
      <c r="A33" s="43">
        <v>6</v>
      </c>
    </row>
    <row r="34" spans="1:14" x14ac:dyDescent="0.25">
      <c r="C34" s="44" t="s">
        <v>71</v>
      </c>
    </row>
    <row r="36" spans="1:14" ht="18.75" x14ac:dyDescent="0.25">
      <c r="B36" s="109" t="str">
        <f ca="1">IF(ISBLANK(H6),"",IF(H6&gt;H14,F14,F6))</f>
        <v>Алкина-Грачанац</v>
      </c>
      <c r="C36" s="110"/>
      <c r="D36" s="24">
        <v>13</v>
      </c>
      <c r="E36" s="26"/>
      <c r="F36" s="112"/>
      <c r="G36" s="112"/>
      <c r="H36" s="45"/>
      <c r="I36" s="45"/>
      <c r="J36" s="45"/>
      <c r="K36" s="45"/>
      <c r="L36" s="45"/>
      <c r="M36" s="45"/>
      <c r="N36" s="45"/>
    </row>
    <row r="37" spans="1:14" ht="15" customHeight="1" x14ac:dyDescent="0.25">
      <c r="E37" s="27"/>
    </row>
    <row r="38" spans="1:14" ht="18.75" x14ac:dyDescent="0.25">
      <c r="C38" s="30" t="s">
        <v>11</v>
      </c>
      <c r="D38" s="31">
        <v>6</v>
      </c>
      <c r="E38" s="28"/>
      <c r="F38" s="111" t="str">
        <f ca="1">IF(ISBLANK(D36),"",IF(D36&gt;D40,B36,B40))</f>
        <v>Алкина-Грачанац</v>
      </c>
      <c r="G38" s="109"/>
    </row>
    <row r="39" spans="1:14" ht="15" customHeight="1" x14ac:dyDescent="0.25">
      <c r="E39" s="28"/>
    </row>
    <row r="40" spans="1:14" ht="18.75" x14ac:dyDescent="0.25">
      <c r="B40" s="109" t="str">
        <f ca="1">IF(ISBLANK(H22),"",IF(H22&gt;H30,F30,F22))</f>
        <v>Коппа-Лукьянова</v>
      </c>
      <c r="C40" s="110"/>
      <c r="D40" s="24">
        <v>8</v>
      </c>
      <c r="E40" s="29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2" sqref="E12"/>
    </sheetView>
  </sheetViews>
  <sheetFormatPr defaultRowHeight="18.75" x14ac:dyDescent="0.3"/>
  <cols>
    <col min="1" max="1" width="18.5703125" style="57" customWidth="1"/>
    <col min="2" max="2" width="23" style="57" customWidth="1"/>
    <col min="3" max="3" width="9.140625" style="53"/>
    <col min="4" max="4" width="19.7109375" style="57" customWidth="1"/>
    <col min="5" max="5" width="25.140625" style="57" customWidth="1"/>
    <col min="6" max="16384" width="9.140625" style="53"/>
  </cols>
  <sheetData>
    <row r="1" spans="1:5" x14ac:dyDescent="0.3">
      <c r="C1" s="58" t="s">
        <v>78</v>
      </c>
    </row>
    <row r="3" spans="1:5" s="51" customFormat="1" x14ac:dyDescent="0.3">
      <c r="B3" s="51" t="s">
        <v>79</v>
      </c>
      <c r="E3" s="60" t="s">
        <v>110</v>
      </c>
    </row>
    <row r="4" spans="1:5" s="51" customFormat="1" x14ac:dyDescent="0.3">
      <c r="A4" s="51" t="s">
        <v>80</v>
      </c>
      <c r="B4" s="51" t="s">
        <v>81</v>
      </c>
      <c r="D4" s="51" t="s">
        <v>80</v>
      </c>
      <c r="E4" s="51" t="s">
        <v>81</v>
      </c>
    </row>
    <row r="6" spans="1:5" x14ac:dyDescent="0.3">
      <c r="A6" s="59" t="s">
        <v>83</v>
      </c>
      <c r="B6" s="57" t="s">
        <v>82</v>
      </c>
      <c r="D6" s="57" t="s">
        <v>102</v>
      </c>
      <c r="E6" s="57" t="s">
        <v>103</v>
      </c>
    </row>
    <row r="7" spans="1:5" x14ac:dyDescent="0.3">
      <c r="A7" s="59" t="s">
        <v>84</v>
      </c>
      <c r="B7" s="57" t="s">
        <v>85</v>
      </c>
      <c r="D7" s="57" t="s">
        <v>104</v>
      </c>
      <c r="E7" s="57" t="s">
        <v>105</v>
      </c>
    </row>
    <row r="8" spans="1:5" x14ac:dyDescent="0.3">
      <c r="A8" s="57" t="s">
        <v>86</v>
      </c>
      <c r="B8" s="57" t="s">
        <v>87</v>
      </c>
      <c r="D8" s="59" t="s">
        <v>106</v>
      </c>
      <c r="E8" s="57" t="s">
        <v>107</v>
      </c>
    </row>
    <row r="9" spans="1:5" x14ac:dyDescent="0.3">
      <c r="A9" s="57" t="s">
        <v>88</v>
      </c>
      <c r="B9" s="57" t="s">
        <v>89</v>
      </c>
      <c r="D9" s="57" t="s">
        <v>108</v>
      </c>
      <c r="E9" s="57" t="s">
        <v>109</v>
      </c>
    </row>
    <row r="10" spans="1:5" x14ac:dyDescent="0.3">
      <c r="A10" s="57" t="s">
        <v>90</v>
      </c>
      <c r="B10" s="57" t="s">
        <v>91</v>
      </c>
    </row>
    <row r="12" spans="1:5" x14ac:dyDescent="0.3">
      <c r="A12" s="57" t="s">
        <v>92</v>
      </c>
      <c r="B12" s="57" t="s">
        <v>93</v>
      </c>
    </row>
    <row r="13" spans="1:5" x14ac:dyDescent="0.3">
      <c r="A13" s="57" t="s">
        <v>94</v>
      </c>
      <c r="B13" s="57" t="s">
        <v>95</v>
      </c>
    </row>
    <row r="14" spans="1:5" x14ac:dyDescent="0.3">
      <c r="A14" s="57" t="s">
        <v>99</v>
      </c>
      <c r="B14" s="57" t="s">
        <v>96</v>
      </c>
    </row>
    <row r="15" spans="1:5" x14ac:dyDescent="0.3">
      <c r="A15" s="57" t="s">
        <v>100</v>
      </c>
      <c r="B15" s="57" t="s">
        <v>97</v>
      </c>
    </row>
    <row r="16" spans="1:5" x14ac:dyDescent="0.3">
      <c r="A16" s="57" t="s">
        <v>101</v>
      </c>
      <c r="B16" s="57" t="s">
        <v>98</v>
      </c>
    </row>
  </sheetData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7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7" t="e">
        <f>#REF!&amp;#REF!</f>
        <v>#REF!</v>
      </c>
      <c r="J24" s="7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7" t="e">
        <f>#REF!&amp;#REF!</f>
        <v>#REF!</v>
      </c>
      <c r="J25" s="7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7" t="e">
        <f>#REF!&amp;#REF!</f>
        <v>#REF!</v>
      </c>
      <c r="J26" s="7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7" t="e">
        <f>#REF!&amp;#REF!</f>
        <v>#REF!</v>
      </c>
      <c r="J27" s="7" t="e">
        <f>#REF!&amp;#REF!</f>
        <v>#REF!</v>
      </c>
    </row>
    <row r="28" spans="9:28" x14ac:dyDescent="0.25">
      <c r="I28" s="7" t="e">
        <f>#REF!&amp;#REF!</f>
        <v>#REF!</v>
      </c>
      <c r="J28" s="7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7" t="e">
        <f>#REF!&amp;#REF!</f>
        <v>#REF!</v>
      </c>
      <c r="J30" s="7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7" t="e">
        <f>#REF!&amp;#REF!</f>
        <v>#REF!</v>
      </c>
      <c r="J31" s="7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7" t="e">
        <f>#REF!&amp;#REF!</f>
        <v>#REF!</v>
      </c>
      <c r="J32" s="7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7" t="e">
        <f>#REF!&amp;#REF!</f>
        <v>#REF!</v>
      </c>
      <c r="J33" s="7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7" t="e">
        <f>#REF!&amp;#REF!</f>
        <v>#REF!</v>
      </c>
      <c r="J34" s="7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7" t="e">
        <f>#REF!&amp;#REF!</f>
        <v>#REF!</v>
      </c>
      <c r="J36" s="7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7" t="e">
        <f>#REF!&amp;#REF!</f>
        <v>#REF!</v>
      </c>
      <c r="J37" s="7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7" t="e">
        <f>#REF!&amp;#REF!</f>
        <v>#REF!</v>
      </c>
      <c r="J38" s="7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7" t="e">
        <f>#REF!&amp;#REF!</f>
        <v>#REF!</v>
      </c>
      <c r="J39" s="7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7" t="e">
        <f>#REF!&amp;#REF!</f>
        <v>#REF!</v>
      </c>
      <c r="J40" s="7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7" t="e">
        <f>#REF!&amp;#REF!</f>
        <v>#REF!</v>
      </c>
      <c r="J42" s="7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7" t="e">
        <f>#REF!&amp;#REF!</f>
        <v>#REF!</v>
      </c>
      <c r="J43" s="7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7" t="e">
        <f>#REF!&amp;#REF!</f>
        <v>#REF!</v>
      </c>
      <c r="J44" s="7" t="e">
        <f>#REF!&amp;#REF!</f>
        <v>#REF!</v>
      </c>
    </row>
    <row r="45" spans="9:19" x14ac:dyDescent="0.25">
      <c r="I45" s="7" t="e">
        <f>#REF!&amp;#REF!</f>
        <v>#REF!</v>
      </c>
      <c r="J45" s="7" t="e">
        <f>#REF!&amp;#REF!</f>
        <v>#REF!</v>
      </c>
    </row>
    <row r="46" spans="9:19" x14ac:dyDescent="0.25">
      <c r="I46" s="7" t="e">
        <f>#REF!&amp;#REF!</f>
        <v>#REF!</v>
      </c>
      <c r="J46" s="7" t="e">
        <f>#REF!&amp;#REF!</f>
        <v>#REF!</v>
      </c>
    </row>
    <row r="48" spans="9:19" x14ac:dyDescent="0.25">
      <c r="I48" s="7" t="e">
        <f>#REF!&amp;#REF!</f>
        <v>#REF!</v>
      </c>
      <c r="J48" s="7" t="e">
        <f>#REF!&amp;#REF!</f>
        <v>#REF!</v>
      </c>
    </row>
    <row r="49" spans="9:10" x14ac:dyDescent="0.25">
      <c r="I49" s="7" t="e">
        <f>#REF!&amp;#REF!</f>
        <v>#REF!</v>
      </c>
      <c r="J49" s="7" t="e">
        <f>#REF!&amp;#REF!</f>
        <v>#REF!</v>
      </c>
    </row>
    <row r="50" spans="9:10" x14ac:dyDescent="0.25">
      <c r="I50" s="7" t="e">
        <f>#REF!&amp;#REF!</f>
        <v>#REF!</v>
      </c>
      <c r="J50" s="7" t="e">
        <f>#REF!&amp;#REF!</f>
        <v>#REF!</v>
      </c>
    </row>
    <row r="51" spans="9:10" x14ac:dyDescent="0.25">
      <c r="I51" s="7" t="e">
        <f>#REF!&amp;#REF!</f>
        <v>#REF!</v>
      </c>
      <c r="J51" s="7" t="e">
        <f>#REF!&amp;#REF!</f>
        <v>#REF!</v>
      </c>
    </row>
    <row r="52" spans="9:10" x14ac:dyDescent="0.25">
      <c r="I52" s="7" t="e">
        <f>#REF!&amp;#REF!</f>
        <v>#REF!</v>
      </c>
      <c r="J52" s="7" t="e">
        <f>#REF!&amp;#REF!</f>
        <v>#REF!</v>
      </c>
    </row>
    <row r="54" spans="9:10" x14ac:dyDescent="0.25">
      <c r="I54" s="7" t="e">
        <f>#REF!&amp;#REF!</f>
        <v>#REF!</v>
      </c>
      <c r="J54" s="7" t="e">
        <f>#REF!&amp;#REF!</f>
        <v>#REF!</v>
      </c>
    </row>
    <row r="55" spans="9:10" x14ac:dyDescent="0.25">
      <c r="I55" s="7" t="e">
        <f>#REF!&amp;#REF!</f>
        <v>#REF!</v>
      </c>
      <c r="J55" s="7" t="e">
        <f>#REF!&amp;#REF!</f>
        <v>#REF!</v>
      </c>
    </row>
    <row r="56" spans="9:10" x14ac:dyDescent="0.25">
      <c r="I56" s="7" t="e">
        <f>#REF!&amp;#REF!</f>
        <v>#REF!</v>
      </c>
      <c r="J56" s="7" t="e">
        <f>#REF!&amp;#REF!</f>
        <v>#REF!</v>
      </c>
    </row>
    <row r="57" spans="9:10" x14ac:dyDescent="0.25">
      <c r="I57" s="7" t="e">
        <f>#REF!&amp;#REF!</f>
        <v>#REF!</v>
      </c>
      <c r="J57" s="7" t="e">
        <f>#REF!&amp;#REF!</f>
        <v>#REF!</v>
      </c>
    </row>
    <row r="58" spans="9:10" x14ac:dyDescent="0.25">
      <c r="I58" s="7" t="e">
        <f>#REF!&amp;#REF!</f>
        <v>#REF!</v>
      </c>
      <c r="J58" s="7" t="e">
        <f>#REF!&amp;#REF!</f>
        <v>#REF!</v>
      </c>
    </row>
    <row r="60" spans="9:10" x14ac:dyDescent="0.25">
      <c r="I60" s="7" t="e">
        <f>#REF!&amp;#REF!</f>
        <v>#REF!</v>
      </c>
      <c r="J60" s="7" t="e">
        <f>#REF!&amp;#REF!</f>
        <v>#REF!</v>
      </c>
    </row>
    <row r="61" spans="9:10" x14ac:dyDescent="0.25">
      <c r="I61" s="7" t="e">
        <f>#REF!&amp;#REF!</f>
        <v>#REF!</v>
      </c>
      <c r="J61" s="7" t="e">
        <f>#REF!&amp;#REF!</f>
        <v>#REF!</v>
      </c>
    </row>
    <row r="62" spans="9:10" x14ac:dyDescent="0.25">
      <c r="I62" s="7" t="e">
        <f>#REF!&amp;#REF!</f>
        <v>#REF!</v>
      </c>
      <c r="J62" s="7" t="e">
        <f>#REF!&amp;#REF!</f>
        <v>#REF!</v>
      </c>
    </row>
    <row r="63" spans="9:10" x14ac:dyDescent="0.25">
      <c r="I63" s="7" t="e">
        <f>#REF!&amp;#REF!</f>
        <v>#REF!</v>
      </c>
      <c r="J63" s="7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X</vt:lpstr>
      <vt:lpstr>A</vt:lpstr>
      <vt:lpstr>B</vt:lpstr>
      <vt:lpstr>C</vt:lpstr>
      <vt:lpstr>Кубок А</vt:lpstr>
      <vt:lpstr>Кубок В</vt:lpstr>
      <vt:lpstr>График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Дмитрий</cp:lastModifiedBy>
  <cp:lastPrinted>2025-04-13T09:26:28Z</cp:lastPrinted>
  <dcterms:created xsi:type="dcterms:W3CDTF">2009-05-19T09:37:33Z</dcterms:created>
  <dcterms:modified xsi:type="dcterms:W3CDTF">2025-04-13T18:24:13Z</dcterms:modified>
</cp:coreProperties>
</file>