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65" windowWidth="18975" windowHeight="7200" firstSheet="1" activeTab="8"/>
  </bookViews>
  <sheets>
    <sheet name="ОРТ группа А" sheetId="55" r:id="rId1"/>
    <sheet name="ОРТ группа В" sheetId="56" r:id="rId2"/>
    <sheet name="ОРТ группа С" sheetId="57" r:id="rId3"/>
    <sheet name="ОРТ микст кубок А" sheetId="44" r:id="rId4"/>
    <sheet name="ОРТ микст кубок В" sheetId="45" r:id="rId5"/>
    <sheet name="ОРТ микст кубок С" sheetId="46" r:id="rId6"/>
    <sheet name="Итоги ГП России ОРТ микст" sheetId="53" r:id="rId7"/>
    <sheet name="ОРТ тройка" sheetId="58" r:id="rId8"/>
    <sheet name="Итоги ГП России ОРТ тройка" sheetId="59" r:id="rId9"/>
    <sheet name="Служебный лист" sheetId="4" state="hidden" r:id="rId10"/>
  </sheets>
  <calcPr calcId="114210"/>
</workbook>
</file>

<file path=xl/calcChain.xml><?xml version="1.0" encoding="utf-8"?>
<calcChain xmlns="http://schemas.openxmlformats.org/spreadsheetml/2006/main">
  <c r="G4" i="58"/>
  <c r="H4"/>
  <c r="I4"/>
  <c r="J4"/>
  <c r="K4"/>
  <c r="L4"/>
  <c r="G5"/>
  <c r="H5"/>
  <c r="I5"/>
  <c r="J5"/>
  <c r="K5"/>
  <c r="L5"/>
  <c r="M4"/>
  <c r="N5"/>
  <c r="F6"/>
  <c r="H6"/>
  <c r="I6"/>
  <c r="J6"/>
  <c r="K6"/>
  <c r="L6"/>
  <c r="F7"/>
  <c r="H7"/>
  <c r="I7"/>
  <c r="J7"/>
  <c r="K7"/>
  <c r="L7"/>
  <c r="M6"/>
  <c r="N7"/>
  <c r="F8"/>
  <c r="G8"/>
  <c r="I8"/>
  <c r="J8"/>
  <c r="K8"/>
  <c r="L8"/>
  <c r="F9"/>
  <c r="G9"/>
  <c r="I9"/>
  <c r="J9"/>
  <c r="K9"/>
  <c r="L9"/>
  <c r="M8"/>
  <c r="N9"/>
  <c r="F10"/>
  <c r="G10"/>
  <c r="H10"/>
  <c r="J10"/>
  <c r="K10"/>
  <c r="L10"/>
  <c r="F11"/>
  <c r="G11"/>
  <c r="H11"/>
  <c r="J11"/>
  <c r="K11"/>
  <c r="L11"/>
  <c r="M10"/>
  <c r="N11"/>
  <c r="F12"/>
  <c r="G12"/>
  <c r="H12"/>
  <c r="I12"/>
  <c r="K12"/>
  <c r="L12"/>
  <c r="F13"/>
  <c r="G13"/>
  <c r="H13"/>
  <c r="I13"/>
  <c r="K13"/>
  <c r="L13"/>
  <c r="M12"/>
  <c r="N13"/>
  <c r="F14"/>
  <c r="G14"/>
  <c r="H14"/>
  <c r="I14"/>
  <c r="J14"/>
  <c r="L14"/>
  <c r="F15"/>
  <c r="G15"/>
  <c r="H15"/>
  <c r="I15"/>
  <c r="J15"/>
  <c r="L15"/>
  <c r="M14"/>
  <c r="N15"/>
  <c r="F16"/>
  <c r="G16"/>
  <c r="H16"/>
  <c r="I16"/>
  <c r="J16"/>
  <c r="K16"/>
  <c r="F17"/>
  <c r="G17"/>
  <c r="H17"/>
  <c r="I17"/>
  <c r="J17"/>
  <c r="K17"/>
  <c r="M16"/>
  <c r="N17"/>
  <c r="C22"/>
  <c r="H22"/>
  <c r="C23"/>
  <c r="H23"/>
  <c r="C24"/>
  <c r="H24"/>
  <c r="C27"/>
  <c r="H27"/>
  <c r="C28"/>
  <c r="H28"/>
  <c r="C29"/>
  <c r="H29"/>
  <c r="C32"/>
  <c r="H32"/>
  <c r="C33"/>
  <c r="H33"/>
  <c r="C34"/>
  <c r="H34"/>
  <c r="C37"/>
  <c r="H37"/>
  <c r="C38"/>
  <c r="H38"/>
  <c r="C39"/>
  <c r="H39"/>
  <c r="C42"/>
  <c r="H42"/>
  <c r="C43"/>
  <c r="H43"/>
  <c r="C44"/>
  <c r="H44"/>
  <c r="C47"/>
  <c r="H47"/>
  <c r="C48"/>
  <c r="H48"/>
  <c r="C49"/>
  <c r="H49"/>
  <c r="C52"/>
  <c r="H52"/>
  <c r="C53"/>
  <c r="H53"/>
  <c r="C54"/>
  <c r="H54"/>
  <c r="G4" i="57"/>
  <c r="H4"/>
  <c r="I4"/>
  <c r="J4"/>
  <c r="G5"/>
  <c r="H5"/>
  <c r="I5"/>
  <c r="J5"/>
  <c r="K4"/>
  <c r="L5"/>
  <c r="F6"/>
  <c r="H6"/>
  <c r="I6"/>
  <c r="J6"/>
  <c r="F7"/>
  <c r="H7"/>
  <c r="I7"/>
  <c r="J7"/>
  <c r="K6"/>
  <c r="L7"/>
  <c r="F8"/>
  <c r="G8"/>
  <c r="I8"/>
  <c r="J8"/>
  <c r="F9"/>
  <c r="G9"/>
  <c r="I9"/>
  <c r="J9"/>
  <c r="K8"/>
  <c r="L9"/>
  <c r="F10"/>
  <c r="G10"/>
  <c r="H10"/>
  <c r="J10"/>
  <c r="F11"/>
  <c r="G11"/>
  <c r="H11"/>
  <c r="J11"/>
  <c r="K10"/>
  <c r="L11"/>
  <c r="F12"/>
  <c r="G12"/>
  <c r="H12"/>
  <c r="I12"/>
  <c r="F13"/>
  <c r="G13"/>
  <c r="H13"/>
  <c r="I13"/>
  <c r="K12"/>
  <c r="L13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G4" i="56"/>
  <c r="H4"/>
  <c r="I4"/>
  <c r="J4"/>
  <c r="G5"/>
  <c r="H5"/>
  <c r="I5"/>
  <c r="J5"/>
  <c r="K4"/>
  <c r="L5"/>
  <c r="F6"/>
  <c r="H6"/>
  <c r="I6"/>
  <c r="J6"/>
  <c r="F7"/>
  <c r="H7"/>
  <c r="I7"/>
  <c r="J7"/>
  <c r="K6"/>
  <c r="L7"/>
  <c r="F8"/>
  <c r="G8"/>
  <c r="I8"/>
  <c r="J8"/>
  <c r="F9"/>
  <c r="G9"/>
  <c r="I9"/>
  <c r="J9"/>
  <c r="K8"/>
  <c r="L9"/>
  <c r="F10"/>
  <c r="G10"/>
  <c r="H10"/>
  <c r="J10"/>
  <c r="F11"/>
  <c r="G11"/>
  <c r="H11"/>
  <c r="J11"/>
  <c r="K10"/>
  <c r="L11"/>
  <c r="F12"/>
  <c r="G12"/>
  <c r="H12"/>
  <c r="I12"/>
  <c r="F13"/>
  <c r="G13"/>
  <c r="H13"/>
  <c r="I13"/>
  <c r="K12"/>
  <c r="L13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G4" i="55"/>
  <c r="H4"/>
  <c r="I4"/>
  <c r="J4"/>
  <c r="G5"/>
  <c r="H5"/>
  <c r="I5"/>
  <c r="J5"/>
  <c r="K4"/>
  <c r="L5"/>
  <c r="F6"/>
  <c r="H6"/>
  <c r="I6"/>
  <c r="J6"/>
  <c r="F7"/>
  <c r="H7"/>
  <c r="I7"/>
  <c r="J7"/>
  <c r="K6"/>
  <c r="L7"/>
  <c r="F8"/>
  <c r="G8"/>
  <c r="I8"/>
  <c r="J8"/>
  <c r="F9"/>
  <c r="G9"/>
  <c r="I9"/>
  <c r="J9"/>
  <c r="K8"/>
  <c r="L9"/>
  <c r="F10"/>
  <c r="G10"/>
  <c r="H10"/>
  <c r="J10"/>
  <c r="F11"/>
  <c r="G11"/>
  <c r="H11"/>
  <c r="J11"/>
  <c r="K10"/>
  <c r="L11"/>
  <c r="F12"/>
  <c r="G12"/>
  <c r="H12"/>
  <c r="I12"/>
  <c r="F13"/>
  <c r="G13"/>
  <c r="H13"/>
  <c r="I13"/>
  <c r="K12"/>
  <c r="L13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F6" i="46"/>
  <c r="J10"/>
  <c r="F14"/>
  <c r="B20"/>
  <c r="B24"/>
  <c r="F22"/>
  <c r="F6" i="45"/>
  <c r="J10"/>
  <c r="F14"/>
  <c r="B20"/>
  <c r="F22"/>
  <c r="B24"/>
  <c r="F6" i="44"/>
  <c r="J10"/>
  <c r="F14"/>
  <c r="B20"/>
  <c r="B24"/>
  <c r="F22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AB17"/>
  <c r="S25"/>
  <c r="AB18"/>
  <c r="S26"/>
  <c r="O26"/>
  <c r="O25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Y25"/>
  <c r="AB26"/>
  <c r="AB23"/>
  <c r="P26"/>
  <c r="S15"/>
  <c r="M24"/>
  <c r="L26"/>
  <c r="N23"/>
  <c r="R20"/>
  <c r="Y23"/>
  <c r="N24"/>
  <c r="AA24"/>
  <c r="S12"/>
  <c r="Y26"/>
  <c r="AB22"/>
  <c r="AA11"/>
  <c r="AB16"/>
  <c r="X25"/>
  <c r="AB21"/>
  <c r="AB24"/>
  <c r="R19"/>
  <c r="R12"/>
  <c r="U24"/>
  <c r="R18"/>
  <c r="R24"/>
  <c r="R13"/>
  <c r="L23"/>
  <c r="AA19"/>
  <c r="V24"/>
  <c r="AA16"/>
  <c r="X23"/>
  <c r="AA25"/>
  <c r="N26"/>
  <c r="Y24"/>
  <c r="AA13"/>
  <c r="U25"/>
  <c r="V26"/>
  <c r="S14"/>
  <c r="AB25"/>
  <c r="R25"/>
  <c r="Z25"/>
  <c r="X26"/>
  <c r="S18"/>
  <c r="AB13"/>
  <c r="O23"/>
  <c r="S23"/>
  <c r="Z23"/>
  <c r="AA18"/>
  <c r="R21"/>
  <c r="Q24"/>
  <c r="AB11"/>
  <c r="S20"/>
  <c r="S22"/>
  <c r="U26"/>
  <c r="AA15"/>
  <c r="L25"/>
  <c r="AB19"/>
  <c r="S11"/>
  <c r="R17"/>
  <c r="R14"/>
  <c r="AA14"/>
  <c r="R16"/>
  <c r="R23"/>
  <c r="W24"/>
  <c r="V23"/>
  <c r="Q25"/>
  <c r="S21"/>
  <c r="P25"/>
  <c r="AA26"/>
  <c r="S24"/>
  <c r="W25"/>
  <c r="AA21"/>
  <c r="AA17"/>
  <c r="R11"/>
  <c r="R26"/>
  <c r="O24"/>
  <c r="V25"/>
  <c r="AA12"/>
  <c r="W26"/>
  <c r="M23"/>
  <c r="M26"/>
  <c r="S19"/>
  <c r="AB12"/>
  <c r="P23"/>
  <c r="R15"/>
  <c r="P24"/>
  <c r="U23"/>
  <c r="L24"/>
  <c r="W23"/>
  <c r="Q26"/>
  <c r="S16"/>
  <c r="Q23"/>
  <c r="Z26"/>
  <c r="M25"/>
  <c r="S13"/>
  <c r="AB20"/>
  <c r="N25"/>
  <c r="AA22"/>
  <c r="Z24"/>
  <c r="AA20"/>
  <c r="R22"/>
  <c r="S17"/>
  <c r="AB14"/>
  <c r="AB15"/>
  <c r="AA23"/>
  <c r="X24"/>
  <c r="R28"/>
  <c r="R39"/>
  <c r="L40"/>
  <c r="R30"/>
  <c r="R40"/>
  <c r="R33"/>
  <c r="R41"/>
  <c r="R35"/>
  <c r="R29"/>
  <c r="R31"/>
  <c r="R36"/>
  <c r="R34"/>
  <c r="N42"/>
  <c r="S28"/>
  <c r="S30"/>
  <c r="L42"/>
  <c r="N43"/>
  <c r="O42"/>
  <c r="S41"/>
  <c r="S39"/>
  <c r="M42"/>
  <c r="S37"/>
  <c r="Q40"/>
  <c r="S33"/>
  <c r="Q43"/>
  <c r="S29"/>
  <c r="Q41"/>
  <c r="P42"/>
  <c r="N41"/>
  <c r="L41"/>
  <c r="R38"/>
  <c r="P41"/>
  <c r="R32"/>
  <c r="R37"/>
  <c r="P40"/>
  <c r="N40"/>
  <c r="S38"/>
  <c r="S40"/>
  <c r="S36"/>
  <c r="O40"/>
  <c r="M43"/>
  <c r="L43"/>
  <c r="M40"/>
  <c r="S35"/>
  <c r="S34"/>
  <c r="M41"/>
  <c r="Q42"/>
  <c r="O43"/>
  <c r="R42"/>
  <c r="S32"/>
  <c r="O41"/>
  <c r="S42"/>
  <c r="P43"/>
  <c r="S31"/>
  <c r="R43"/>
  <c r="S43"/>
  <c r="A6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Q13"/>
  <c r="Y19"/>
  <c r="L20"/>
  <c r="P12"/>
  <c r="Z16"/>
  <c r="Z19"/>
  <c r="Z17"/>
  <c r="Y21"/>
  <c r="U21"/>
  <c r="N18"/>
  <c r="X11"/>
  <c r="X18"/>
  <c r="Z18"/>
  <c r="V19"/>
  <c r="N17"/>
  <c r="V22"/>
  <c r="L18"/>
  <c r="Y12"/>
  <c r="X20"/>
  <c r="V17"/>
  <c r="P18"/>
  <c r="P22"/>
  <c r="O20"/>
  <c r="Q21"/>
  <c r="X22"/>
  <c r="Y17"/>
  <c r="O22"/>
  <c r="L22"/>
  <c r="Z11"/>
  <c r="M17"/>
  <c r="O13"/>
  <c r="Z12"/>
  <c r="N19"/>
  <c r="Q12"/>
  <c r="M22"/>
  <c r="O14"/>
  <c r="O21"/>
  <c r="P15"/>
  <c r="N20"/>
  <c r="N22"/>
  <c r="X19"/>
  <c r="Q18"/>
  <c r="Z14"/>
  <c r="Y20"/>
  <c r="Q22"/>
  <c r="O19"/>
  <c r="M19"/>
  <c r="U18"/>
  <c r="W21"/>
  <c r="O11"/>
  <c r="O17"/>
  <c r="V20"/>
  <c r="W17"/>
  <c r="V18"/>
  <c r="O12"/>
  <c r="Q20"/>
  <c r="Q11"/>
  <c r="W22"/>
  <c r="P13"/>
  <c r="N21"/>
  <c r="Q15"/>
  <c r="P14"/>
  <c r="V21"/>
  <c r="Z15"/>
  <c r="Y22"/>
  <c r="Y18"/>
  <c r="W19"/>
  <c r="P17"/>
  <c r="O16"/>
  <c r="Q14"/>
  <c r="P19"/>
  <c r="U20"/>
  <c r="L19"/>
  <c r="Y15"/>
  <c r="X17"/>
  <c r="Z20"/>
  <c r="Q16"/>
  <c r="U19"/>
  <c r="M20"/>
  <c r="Y13"/>
  <c r="W18"/>
  <c r="O18"/>
  <c r="L17"/>
  <c r="Z13"/>
  <c r="P11"/>
  <c r="X14"/>
  <c r="W20"/>
  <c r="P16"/>
  <c r="O15"/>
  <c r="Z21"/>
  <c r="Y14"/>
  <c r="U17"/>
  <c r="X21"/>
  <c r="M21"/>
  <c r="Z22"/>
  <c r="P20"/>
  <c r="Y16"/>
  <c r="M18"/>
  <c r="Q19"/>
  <c r="Y11"/>
  <c r="Q17"/>
  <c r="X12"/>
  <c r="U22"/>
  <c r="P21"/>
  <c r="L21"/>
  <c r="X15"/>
  <c r="X16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W12"/>
  <c r="M14"/>
  <c r="N15"/>
  <c r="N13"/>
  <c r="W11"/>
  <c r="M12"/>
  <c r="M15"/>
  <c r="M11"/>
  <c r="N14"/>
  <c r="M13"/>
  <c r="N16"/>
  <c r="M16"/>
  <c r="V2"/>
  <c r="L1"/>
  <c r="N1"/>
  <c r="U1"/>
  <c r="V1"/>
  <c r="V3"/>
  <c r="W2"/>
  <c r="U2"/>
  <c r="W3"/>
  <c r="U3"/>
  <c r="U15"/>
  <c r="V14"/>
  <c r="W15"/>
  <c r="L16"/>
  <c r="V13"/>
  <c r="U13"/>
  <c r="L14"/>
  <c r="V15"/>
  <c r="N11"/>
  <c r="V16"/>
  <c r="U11"/>
  <c r="U12"/>
  <c r="L15"/>
  <c r="U16"/>
  <c r="V12"/>
  <c r="W13"/>
  <c r="L12"/>
  <c r="L13"/>
  <c r="W14"/>
  <c r="U14"/>
  <c r="W16"/>
  <c r="V11"/>
  <c r="N12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<sst xmlns="http://schemas.openxmlformats.org/spreadsheetml/2006/main" count="311" uniqueCount="113">
  <si>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</si>
  <si>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</si>
  <si>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</si>
  <si>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</si>
  <si>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</si>
  <si>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</si>
  <si>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</si>
  <si>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</si>
  <si>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</si>
  <si>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</si>
  <si>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</si>
  <si>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</si>
  <si>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</si>
  <si>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</si>
  <si>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Лукин Сергей</t>
  </si>
  <si>
    <t>Семченкова Марина</t>
  </si>
  <si>
    <t>Семченкова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</si>
  <si>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</si>
  <si>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</si>
  <si>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</si>
  <si>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</si>
  <si>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</si>
  <si>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</si>
  <si>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Главный судья          ____________ С.В.Капран-Индаяти</t>
  </si>
  <si>
    <t>Главный секретарь  _____________ Ю.В.Симутина</t>
  </si>
  <si>
    <t>дор.1</t>
  </si>
  <si>
    <t>дор.2</t>
  </si>
  <si>
    <t>дор.3</t>
  </si>
  <si>
    <t>дор.4</t>
  </si>
  <si>
    <t>дор.5</t>
  </si>
  <si>
    <t>дор.6</t>
  </si>
  <si>
    <t>дор.7</t>
  </si>
  <si>
    <t>дор.8</t>
  </si>
  <si>
    <t>Открытый региональный турнир "Абрау-Дюрсо!" (петанк-двойка-смешанная),                                                     с.Абрау-Дюрсо, 23 августа 2025г. Группа А</t>
  </si>
  <si>
    <t>Открытый региональный турнир "Абрау-Дюрсо!" (петанк-двойка-смешанная),                                                     с.Абрау-Дюрсо, 23 августа 2025г. Группа В</t>
  </si>
  <si>
    <t>Открытый региональный турнир "Абрау-Дюрсо!" (петанк-двойка-смешанная),                                                     с.Абрау-Дюрсо, 23 августа 2025г. Группа С</t>
  </si>
  <si>
    <t>Савельева, Аваков</t>
  </si>
  <si>
    <t>Автайкина, Коржов</t>
  </si>
  <si>
    <t>Помазан Л., Дибров</t>
  </si>
  <si>
    <t>Балашова, Балашов</t>
  </si>
  <si>
    <t>Мыльцева, Шустваль</t>
  </si>
  <si>
    <t>Семченкова, Нечаев</t>
  </si>
  <si>
    <t>Фёдорова Л., Луданов</t>
  </si>
  <si>
    <t>Шапка, Малов</t>
  </si>
  <si>
    <t>Фёдорова А., Лукин</t>
  </si>
  <si>
    <t>Погорелова, Танчин</t>
  </si>
  <si>
    <t>Костяная, Помазан</t>
  </si>
  <si>
    <t>Валибуз П., Валибуз И.</t>
  </si>
  <si>
    <t>Мироненко, Клименко</t>
  </si>
  <si>
    <t>Акулова, Чугунов</t>
  </si>
  <si>
    <t>Дегтярёва М., Викторов</t>
  </si>
  <si>
    <t>ИТОГОВЫЙ ПРОТОКОЛ                                                                       Открытый региональный турнир "Абрау-Дюрсо!" (петанк-двойка-смешанная),                                       с.Абрау-Дюрсо, 23 августа 2025 года</t>
  </si>
  <si>
    <t>4</t>
  </si>
  <si>
    <t>Акулова Александра</t>
  </si>
  <si>
    <t>Чугунов Андрей</t>
  </si>
  <si>
    <t>Костяная Евгения</t>
  </si>
  <si>
    <t>Помазан Геннадий</t>
  </si>
  <si>
    <t>Томская область</t>
  </si>
  <si>
    <t>Нечаев Максим</t>
  </si>
  <si>
    <t>Мыльцева Ольга (млд)</t>
  </si>
  <si>
    <t>Шустваль Евгений</t>
  </si>
  <si>
    <t>Фёдорова Анна</t>
  </si>
  <si>
    <t>Дегтярёва Мила</t>
  </si>
  <si>
    <t>Викторов Андрей</t>
  </si>
  <si>
    <t>Помазан Лидия</t>
  </si>
  <si>
    <t>Дибров Дмитрий</t>
  </si>
  <si>
    <t>Фёдорова Любовь</t>
  </si>
  <si>
    <t>Луданов Алексей</t>
  </si>
  <si>
    <t>Шапка Агата</t>
  </si>
  <si>
    <t>Малов Сергей</t>
  </si>
  <si>
    <t>Савельева Лариса</t>
  </si>
  <si>
    <t>Аваков Давид</t>
  </si>
  <si>
    <t>Балашова Марина</t>
  </si>
  <si>
    <t>Балашов Дмитрий</t>
  </si>
  <si>
    <t>Валибуз Ирина</t>
  </si>
  <si>
    <t>Валибуз Пьер</t>
  </si>
  <si>
    <t>Мироненко Татьяна</t>
  </si>
  <si>
    <t>Клименко Владимир</t>
  </si>
  <si>
    <t>Автайкина Марина</t>
  </si>
  <si>
    <t>Коржов Владимир</t>
  </si>
  <si>
    <t>Погорелова Александра</t>
  </si>
  <si>
    <t>Танчин Виктор</t>
  </si>
  <si>
    <t>ИТОГОВЫЙ ПРОТОКОЛ                                                                       Открытый региональный турнир "Абрау-Дюрсо!" (петанк-тройка),                                                                             с.Абрау-Дюрсо, 24 августа 2025 года</t>
  </si>
  <si>
    <t>Открытый региональный турнир "Абрау-Дюрсо!" (петанк-тройка),                                                     с.Абрау-Дюрсо, 24 августа 2025г.</t>
  </si>
  <si>
    <t>3</t>
  </si>
  <si>
    <t>Открытый региональный турнир "Абрау-Дюрсо!" (петанк-двойка-смешанная),                                                     с.Абрау-Дюрсо, 23 августа 2025г. Кубок А.</t>
  </si>
  <si>
    <t>Открытый региональный турнир "Абрау-Дюрсо!" (петанк-двойка-смешанная),                                                     с.Абрау-Дюрсо, 23 августа 2025г. Кубок В.</t>
  </si>
  <si>
    <t>Открытый региональный турнир "Абрау-Дюрсо!" (петанк-двойка-смешанная),                                                     с.Абрау-Дюрсо, 23 августа 2025г. Кубок С.</t>
  </si>
  <si>
    <t>Костяная</t>
  </si>
  <si>
    <t>Акулова</t>
  </si>
  <si>
    <t>Мыльцева</t>
  </si>
  <si>
    <t>Фёдорова А.</t>
  </si>
  <si>
    <t>Фёдорова Л.</t>
  </si>
  <si>
    <t>Помазан Л.</t>
  </si>
  <si>
    <t>Дегтярёва М.</t>
  </si>
  <si>
    <t>Балашова</t>
  </si>
  <si>
    <t>Валибуз</t>
  </si>
  <si>
    <t>Шапка</t>
  </si>
  <si>
    <t>Савельева</t>
  </si>
  <si>
    <t>Шустваль, Помазан Г., Костяная</t>
  </si>
  <si>
    <t>Нечаев, Семченкова, Коржов</t>
  </si>
  <si>
    <t>Капран-Индаяти, Луданов, Климанский</t>
  </si>
  <si>
    <t>Аваков, Грейцер, Лукин</t>
  </si>
  <si>
    <t>Дегтярёва Л., Дегтярёва М., Ерёмин</t>
  </si>
  <si>
    <t>Автайкина, Акулова, Фёдорова А.</t>
  </si>
  <si>
    <t>Валибуз П., Танчин, Балашов</t>
  </si>
  <si>
    <t>Главный секретарь  _____________ М.А.Нечаев</t>
  </si>
  <si>
    <t>Дегтярёва Лариса</t>
  </si>
  <si>
    <t>Ерёмин Павел</t>
  </si>
  <si>
    <t>Грейцер Роман</t>
  </si>
  <si>
    <t>Капран-Индаяти Сергей</t>
  </si>
  <si>
    <t>Ставропольский край</t>
  </si>
  <si>
    <t>Климанский Матвей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</si>
</sst>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8"/>
      <color indexed="8"/>
      <name val="Cambria"/>
      <family val="1"/>
      <charset val="204"/>
    </font>
    <font>
      <sz val="16"/>
      <color indexed="22"/>
      <name val="Calibri"/>
      <family val="2"/>
      <charset val="204"/>
    </font>
    <font>
      <sz val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15" fillId="0" borderId="0" xfId="0" applyFont="1" applyBorder="1"/>
    <xf numFmtId="0" fontId="6" fillId="0" borderId="0" xfId="0" applyFont="1"/>
    <xf numFmtId="0" fontId="2" fillId="0" borderId="7" xfId="0" applyFont="1" applyBorder="1"/>
    <xf numFmtId="49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165" fontId="4" fillId="0" borderId="36" xfId="0" applyNumberFormat="1" applyFont="1" applyBorder="1" applyAlignment="1">
      <alignment horizontal="center" vertical="center"/>
    </xf>
    <xf numFmtId="165" fontId="4" fillId="0" borderId="37" xfId="0" applyNumberFormat="1" applyFont="1" applyBorder="1" applyAlignment="1">
      <alignment horizontal="center" vertical="center"/>
    </xf>
    <xf numFmtId="164" fontId="4" fillId="3" borderId="3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7" xfId="0" applyBorder="1"/>
    <xf numFmtId="0" fontId="3" fillId="0" borderId="1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0" fillId="0" borderId="37" xfId="0" applyBorder="1"/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5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0" borderId="32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165" fontId="4" fillId="0" borderId="43" xfId="0" applyNumberFormat="1" applyFont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" fillId="0" borderId="7" xfId="0" applyFont="1" applyBorder="1"/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wrapText="1" indent="1"/>
    </xf>
    <xf numFmtId="0" fontId="5" fillId="0" borderId="27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 wrapText="1" indent="1"/>
    </xf>
    <xf numFmtId="0" fontId="5" fillId="0" borderId="34" xfId="0" applyFont="1" applyFill="1" applyBorder="1" applyAlignment="1">
      <alignment horizontal="left" vertical="center" wrapText="1" indent="1"/>
    </xf>
    <xf numFmtId="0" fontId="5" fillId="0" borderId="35" xfId="0" applyFont="1" applyFill="1" applyBorder="1" applyAlignment="1">
      <alignment horizontal="left" vertical="center" wrapText="1" indent="1"/>
    </xf>
    <xf numFmtId="0" fontId="5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4" fillId="0" borderId="35" xfId="0" applyFont="1" applyFill="1" applyBorder="1" applyAlignment="1">
      <alignment horizontal="left" vertical="center" wrapText="1" indent="1"/>
    </xf>
    <xf numFmtId="0" fontId="0" fillId="0" borderId="16" xfId="0" applyBorder="1" applyAlignment="1">
      <alignment horizontal="center" wrapText="1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5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opLeftCell="A31" workbookViewId="0">
      <selection activeCell="B38" sqref="B38:I41"/>
    </sheetView>
  </sheetViews>
  <sheetFormatPr defaultRowHeight="15"/>
  <cols>
    <col min="1" max="1" width="4" style="11" customWidth="1"/>
    <col min="2" max="12" width="10.28515625" customWidth="1"/>
    <col min="13" max="13" width="10.28515625" style="20" customWidth="1"/>
    <col min="14" max="15" width="10.28515625" customWidth="1"/>
  </cols>
  <sheetData>
    <row r="1" spans="2:16" ht="59.25" customHeight="1">
      <c r="B1" s="93" t="s">
        <v>33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61"/>
      <c r="O1" s="61"/>
      <c r="P1" s="61"/>
    </row>
    <row r="2" spans="2:16" ht="15.75" thickBot="1">
      <c r="M2"/>
    </row>
    <row r="3" spans="2:16" ht="30" customHeight="1" thickBot="1">
      <c r="B3" s="8"/>
      <c r="C3" s="95" t="s">
        <v>0</v>
      </c>
      <c r="D3" s="96"/>
      <c r="E3" s="97"/>
      <c r="F3" s="1">
        <v>1</v>
      </c>
      <c r="G3" s="1">
        <v>2</v>
      </c>
      <c r="H3" s="1">
        <v>3</v>
      </c>
      <c r="I3" s="2">
        <v>4</v>
      </c>
      <c r="J3" s="2">
        <v>5</v>
      </c>
      <c r="K3" s="8" t="s">
        <v>1</v>
      </c>
      <c r="L3" s="1" t="s">
        <v>3</v>
      </c>
      <c r="M3" s="7" t="s">
        <v>2</v>
      </c>
    </row>
    <row r="4" spans="2:16" ht="24" customHeight="1">
      <c r="B4" s="98">
        <v>1</v>
      </c>
      <c r="C4" s="99" t="s">
        <v>36</v>
      </c>
      <c r="D4" s="100"/>
      <c r="E4" s="101"/>
      <c r="F4" s="35" t="s">
        <v>7</v>
      </c>
      <c r="G4" s="36" t="str">
        <f ca="1">INDIRECT(ADDRESS(23,6))&amp;":"&amp;INDIRECT(ADDRESS(23,7))</f>
        <v>9:4</v>
      </c>
      <c r="H4" s="36" t="str">
        <f ca="1">INDIRECT(ADDRESS(26,7))&amp;":"&amp;INDIRECT(ADDRESS(26,6))</f>
        <v>10:13</v>
      </c>
      <c r="I4" s="36" t="str">
        <f ca="1">INDIRECT(ADDRESS(30,6))&amp;":"&amp;INDIRECT(ADDRESS(30,7))</f>
        <v>5:13</v>
      </c>
      <c r="J4" s="37" t="str">
        <f ca="1">INDIRECT(ADDRESS(35,7))&amp;":"&amp;INDIRECT(ADDRESS(35,6))</f>
        <v>2:10</v>
      </c>
      <c r="K4" s="102">
        <f ca="1">IF(COUNT(F5:J5)=0,"",COUNTIF(F5:J5,"&gt;0")+0.5*COUNTIF(F5:J5,0))</f>
        <v>1</v>
      </c>
      <c r="L4" s="38">
        <v>5</v>
      </c>
      <c r="M4" s="103">
        <v>4</v>
      </c>
    </row>
    <row r="5" spans="2:16" ht="24" customHeight="1">
      <c r="B5" s="88"/>
      <c r="C5" s="89"/>
      <c r="D5" s="90"/>
      <c r="E5" s="91"/>
      <c r="F5" s="39" t="s">
        <v>7</v>
      </c>
      <c r="G5" s="40">
        <f ca="1">IF(LEN(INDIRECT(ADDRESS(ROW()-1, COLUMN())))=1,"",INDIRECT(ADDRESS(23,6))-INDIRECT(ADDRESS(23,7)))</f>
        <v>5</v>
      </c>
      <c r="H5" s="40">
        <f ca="1">IF(LEN(INDIRECT(ADDRESS(ROW()-1, COLUMN())))=1,"",INDIRECT(ADDRESS(26,7))-INDIRECT(ADDRESS(26,6)))</f>
        <v>-3</v>
      </c>
      <c r="I5" s="40">
        <f ca="1">IF(LEN(INDIRECT(ADDRESS(ROW()-1, COLUMN())))=1,"",INDIRECT(ADDRESS(30,6))-INDIRECT(ADDRESS(30,7)))</f>
        <v>-8</v>
      </c>
      <c r="J5" s="41">
        <f ca="1">IF(LEN(INDIRECT(ADDRESS(ROW()-1, COLUMN())))=1,"",INDIRECT(ADDRESS(35,7))-INDIRECT(ADDRESS(35,6)))</f>
        <v>-8</v>
      </c>
      <c r="K5" s="92"/>
      <c r="L5" s="40">
        <f ca="1">IF(COUNT(F5:J5)=0,"",SUM(F5:J5))</f>
        <v>-14</v>
      </c>
      <c r="M5" s="94"/>
    </row>
    <row r="6" spans="2:16" ht="24" customHeight="1">
      <c r="B6" s="87">
        <v>2</v>
      </c>
      <c r="C6" s="89" t="s">
        <v>37</v>
      </c>
      <c r="D6" s="90"/>
      <c r="E6" s="91"/>
      <c r="F6" s="42" t="str">
        <f ca="1">INDIRECT(ADDRESS(23,7))&amp;":"&amp;INDIRECT(ADDRESS(23,6))</f>
        <v>4:9</v>
      </c>
      <c r="G6" s="43" t="s">
        <v>7</v>
      </c>
      <c r="H6" s="44" t="str">
        <f ca="1">INDIRECT(ADDRESS(31,6))&amp;":"&amp;INDIRECT(ADDRESS(31,7))</f>
        <v>9:13</v>
      </c>
      <c r="I6" s="44" t="str">
        <f ca="1">INDIRECT(ADDRESS(34,7))&amp;":"&amp;INDIRECT(ADDRESS(34,6))</f>
        <v>1:13</v>
      </c>
      <c r="J6" s="45" t="str">
        <f ca="1">INDIRECT(ADDRESS(18,6))&amp;":"&amp;INDIRECT(ADDRESS(18,7))</f>
        <v>8:3</v>
      </c>
      <c r="K6" s="92">
        <f ca="1">IF(COUNT(F7:J7)=0,"",COUNTIF(F7:J7,"&gt;0")+0.5*COUNTIF(F7:J7,0))</f>
        <v>1</v>
      </c>
      <c r="L6" s="40">
        <v>-5</v>
      </c>
      <c r="M6" s="94">
        <v>5</v>
      </c>
    </row>
    <row r="7" spans="2:16" ht="24" customHeight="1">
      <c r="B7" s="88"/>
      <c r="C7" s="89"/>
      <c r="D7" s="90"/>
      <c r="E7" s="91"/>
      <c r="F7" s="46">
        <f ca="1">IF(LEN(INDIRECT(ADDRESS(ROW()-1, COLUMN())))=1,"",INDIRECT(ADDRESS(23,7))-INDIRECT(ADDRESS(23,6)))</f>
        <v>-5</v>
      </c>
      <c r="G7" s="47" t="s">
        <v>7</v>
      </c>
      <c r="H7" s="40">
        <f ca="1">IF(LEN(INDIRECT(ADDRESS(ROW()-1, COLUMN())))=1,"",INDIRECT(ADDRESS(31,6))-INDIRECT(ADDRESS(31,7)))</f>
        <v>-4</v>
      </c>
      <c r="I7" s="40">
        <f ca="1">IF(LEN(INDIRECT(ADDRESS(ROW()-1, COLUMN())))=1,"",INDIRECT(ADDRESS(34,7))-INDIRECT(ADDRESS(34,6)))</f>
        <v>-12</v>
      </c>
      <c r="J7" s="41">
        <f ca="1">IF(LEN(INDIRECT(ADDRESS(ROW()-1, COLUMN())))=1,"",INDIRECT(ADDRESS(18,6))-INDIRECT(ADDRESS(18,7)))</f>
        <v>5</v>
      </c>
      <c r="K7" s="92"/>
      <c r="L7" s="40">
        <f ca="1">IF(COUNT(F7:J7)=0,"",SUM(F7:J7))</f>
        <v>-16</v>
      </c>
      <c r="M7" s="94"/>
    </row>
    <row r="8" spans="2:16" ht="24" customHeight="1">
      <c r="B8" s="87">
        <v>3</v>
      </c>
      <c r="C8" s="89" t="s">
        <v>38</v>
      </c>
      <c r="D8" s="90"/>
      <c r="E8" s="91"/>
      <c r="F8" s="42" t="str">
        <f ca="1">INDIRECT(ADDRESS(26,6))&amp;":"&amp;INDIRECT(ADDRESS(26,7))</f>
        <v>13:10</v>
      </c>
      <c r="G8" s="44" t="str">
        <f ca="1">INDIRECT(ADDRESS(31,7))&amp;":"&amp;INDIRECT(ADDRESS(31,6))</f>
        <v>13:9</v>
      </c>
      <c r="H8" s="43" t="s">
        <v>7</v>
      </c>
      <c r="I8" s="44" t="str">
        <f ca="1">INDIRECT(ADDRESS(19,6))&amp;":"&amp;INDIRECT(ADDRESS(19,7))</f>
        <v>13:2</v>
      </c>
      <c r="J8" s="45" t="str">
        <f ca="1">INDIRECT(ADDRESS(22,7))&amp;":"&amp;INDIRECT(ADDRESS(22,6))</f>
        <v>3:13</v>
      </c>
      <c r="K8" s="92">
        <f ca="1">IF(COUNT(F9:J9)=0,"",COUNTIF(F9:J9,"&gt;0")+0.5*COUNTIF(F9:J9,0))</f>
        <v>3</v>
      </c>
      <c r="L8" s="40">
        <v>-10</v>
      </c>
      <c r="M8" s="94">
        <v>2</v>
      </c>
    </row>
    <row r="9" spans="2:16" ht="24" customHeight="1">
      <c r="B9" s="88"/>
      <c r="C9" s="89"/>
      <c r="D9" s="90"/>
      <c r="E9" s="91"/>
      <c r="F9" s="46">
        <f ca="1">IF(LEN(INDIRECT(ADDRESS(ROW()-1, COLUMN())))=1,"",INDIRECT(ADDRESS(26,6))-INDIRECT(ADDRESS(26,7)))</f>
        <v>3</v>
      </c>
      <c r="G9" s="40">
        <f ca="1">IF(LEN(INDIRECT(ADDRESS(ROW()-1, COLUMN())))=1,"",INDIRECT(ADDRESS(31,7))-INDIRECT(ADDRESS(31,6)))</f>
        <v>4</v>
      </c>
      <c r="H9" s="47" t="s">
        <v>7</v>
      </c>
      <c r="I9" s="40">
        <f ca="1">IF(LEN(INDIRECT(ADDRESS(ROW()-1, COLUMN())))=1,"",INDIRECT(ADDRESS(19,6))-INDIRECT(ADDRESS(19,7)))</f>
        <v>11</v>
      </c>
      <c r="J9" s="41">
        <f ca="1">IF(LEN(INDIRECT(ADDRESS(ROW()-1, COLUMN())))=1,"",INDIRECT(ADDRESS(22,7))-INDIRECT(ADDRESS(22,6)))</f>
        <v>-10</v>
      </c>
      <c r="K9" s="92"/>
      <c r="L9" s="40">
        <f ca="1">IF(COUNT(F9:J9)=0,"",SUM(F9:J9))</f>
        <v>8</v>
      </c>
      <c r="M9" s="94"/>
    </row>
    <row r="10" spans="2:16" ht="24" customHeight="1">
      <c r="B10" s="87">
        <v>4</v>
      </c>
      <c r="C10" s="89" t="s">
        <v>39</v>
      </c>
      <c r="D10" s="90"/>
      <c r="E10" s="91"/>
      <c r="F10" s="42" t="str">
        <f ca="1">INDIRECT(ADDRESS(30,7))&amp;":"&amp;INDIRECT(ADDRESS(30,6))</f>
        <v>13:5</v>
      </c>
      <c r="G10" s="44" t="str">
        <f ca="1">INDIRECT(ADDRESS(34,6))&amp;":"&amp;INDIRECT(ADDRESS(34,7))</f>
        <v>13:1</v>
      </c>
      <c r="H10" s="44" t="str">
        <f ca="1">INDIRECT(ADDRESS(19,7))&amp;":"&amp;INDIRECT(ADDRESS(19,6))</f>
        <v>2:13</v>
      </c>
      <c r="I10" s="43" t="s">
        <v>7</v>
      </c>
      <c r="J10" s="45" t="str">
        <f ca="1">INDIRECT(ADDRESS(27,6))&amp;":"&amp;INDIRECT(ADDRESS(27,7))</f>
        <v>6:13</v>
      </c>
      <c r="K10" s="92">
        <f ca="1">IF(COUNT(F11:J11)=0,"",COUNTIF(F11:J11,"&gt;0")+0.5*COUNTIF(F11:J11,0))</f>
        <v>2</v>
      </c>
      <c r="L10" s="40"/>
      <c r="M10" s="94">
        <v>3</v>
      </c>
    </row>
    <row r="11" spans="2:16" ht="24" customHeight="1">
      <c r="B11" s="88"/>
      <c r="C11" s="89"/>
      <c r="D11" s="90"/>
      <c r="E11" s="91"/>
      <c r="F11" s="46">
        <f ca="1">IF(LEN(INDIRECT(ADDRESS(ROW()-1, COLUMN())))=1,"",INDIRECT(ADDRESS(30,7))-INDIRECT(ADDRESS(30,6)))</f>
        <v>8</v>
      </c>
      <c r="G11" s="40">
        <f ca="1">IF(LEN(INDIRECT(ADDRESS(ROW()-1, COLUMN())))=1,"",INDIRECT(ADDRESS(34,6))-INDIRECT(ADDRESS(34,7)))</f>
        <v>12</v>
      </c>
      <c r="H11" s="40">
        <f ca="1">IF(LEN(INDIRECT(ADDRESS(ROW()-1, COLUMN())))=1,"",INDIRECT(ADDRESS(19,7))-INDIRECT(ADDRESS(19,6)))</f>
        <v>-11</v>
      </c>
      <c r="I11" s="47" t="s">
        <v>7</v>
      </c>
      <c r="J11" s="41">
        <f ca="1">IF(LEN(INDIRECT(ADDRESS(ROW()-1, COLUMN())))=1,"",INDIRECT(ADDRESS(27,6))-INDIRECT(ADDRESS(27,7)))</f>
        <v>-7</v>
      </c>
      <c r="K11" s="92"/>
      <c r="L11" s="40">
        <f ca="1">IF(COUNT(F11:J11)=0,"",SUM(F11:J11))</f>
        <v>2</v>
      </c>
      <c r="M11" s="94"/>
    </row>
    <row r="12" spans="2:16" ht="24" customHeight="1">
      <c r="B12" s="87">
        <v>5</v>
      </c>
      <c r="C12" s="89" t="s">
        <v>40</v>
      </c>
      <c r="D12" s="90"/>
      <c r="E12" s="91"/>
      <c r="F12" s="42" t="str">
        <f ca="1">INDIRECT(ADDRESS(35,6))&amp;":"&amp;INDIRECT(ADDRESS(35,7))</f>
        <v>10:2</v>
      </c>
      <c r="G12" s="44" t="str">
        <f ca="1">INDIRECT(ADDRESS(18,7))&amp;":"&amp;INDIRECT(ADDRESS(18,6))</f>
        <v>3:8</v>
      </c>
      <c r="H12" s="44" t="str">
        <f ca="1">INDIRECT(ADDRESS(22,6))&amp;":"&amp;INDIRECT(ADDRESS(22,7))</f>
        <v>13:3</v>
      </c>
      <c r="I12" s="44" t="str">
        <f ca="1">INDIRECT(ADDRESS(27,7))&amp;":"&amp;INDIRECT(ADDRESS(27,6))</f>
        <v>13:6</v>
      </c>
      <c r="J12" s="48" t="s">
        <v>7</v>
      </c>
      <c r="K12" s="92">
        <f ca="1">IF(COUNT(F13:J13)=0,"",COUNTIF(F13:J13,"&gt;0")+0.5*COUNTIF(F13:J13,0))</f>
        <v>3</v>
      </c>
      <c r="L12" s="40">
        <v>10</v>
      </c>
      <c r="M12" s="94">
        <v>1</v>
      </c>
    </row>
    <row r="13" spans="2:16" ht="24" customHeight="1" thickBot="1">
      <c r="B13" s="106"/>
      <c r="C13" s="107"/>
      <c r="D13" s="108"/>
      <c r="E13" s="109"/>
      <c r="F13" s="49">
        <f ca="1">IF(LEN(INDIRECT(ADDRESS(ROW()-1, COLUMN())))=1,"",INDIRECT(ADDRESS(35,6))-INDIRECT(ADDRESS(35,7)))</f>
        <v>8</v>
      </c>
      <c r="G13" s="50">
        <f ca="1">IF(LEN(INDIRECT(ADDRESS(ROW()-1, COLUMN())))=1,"",INDIRECT(ADDRESS(18,7))-INDIRECT(ADDRESS(18,6)))</f>
        <v>-5</v>
      </c>
      <c r="H13" s="50">
        <f ca="1">IF(LEN(INDIRECT(ADDRESS(ROW()-1, COLUMN())))=1,"",INDIRECT(ADDRESS(22,6))-INDIRECT(ADDRESS(22,7)))</f>
        <v>10</v>
      </c>
      <c r="I13" s="50">
        <f ca="1">IF(LEN(INDIRECT(ADDRESS(ROW()-1, COLUMN())))=1,"",INDIRECT(ADDRESS(27,7))-INDIRECT(ADDRESS(27,6)))</f>
        <v>7</v>
      </c>
      <c r="J13" s="51" t="s">
        <v>7</v>
      </c>
      <c r="K13" s="110"/>
      <c r="L13" s="50">
        <f ca="1">IF(COUNT(F13:J13)=0,"",SUM(F13:J13))</f>
        <v>20</v>
      </c>
      <c r="M13" s="112"/>
    </row>
    <row r="14" spans="2:16">
      <c r="M14"/>
    </row>
    <row r="15" spans="2:16">
      <c r="M15"/>
    </row>
    <row r="16" spans="2:16">
      <c r="M16"/>
    </row>
    <row r="17" spans="1:13" s="53" customFormat="1" ht="30" customHeight="1" thickBot="1">
      <c r="A17" s="52"/>
      <c r="B17" s="113" t="s">
        <v>4</v>
      </c>
      <c r="C17" s="113"/>
      <c r="D17" s="113"/>
      <c r="E17" s="113"/>
      <c r="F17" s="113"/>
      <c r="G17" s="113"/>
      <c r="H17" s="113"/>
      <c r="I17" s="113"/>
      <c r="J17" s="113"/>
      <c r="K17" s="113"/>
      <c r="M17" s="54"/>
    </row>
    <row r="18" spans="1:13" s="53" customFormat="1" ht="30" customHeight="1" thickBot="1">
      <c r="A18" s="52"/>
      <c r="B18" s="55">
        <v>2</v>
      </c>
      <c r="C18" s="105" t="str">
        <f ca="1">IF(ISBLANK(INDIRECT(ADDRESS(B18*2+2,3))),"",INDIRECT(ADDRESS(B18*2+2,3)))</f>
        <v>Автайкина, Коржов</v>
      </c>
      <c r="D18" s="105"/>
      <c r="E18" s="111"/>
      <c r="F18" s="56">
        <v>8</v>
      </c>
      <c r="G18" s="57">
        <v>3</v>
      </c>
      <c r="H18" s="104" t="str">
        <f ca="1">IF(ISBLANK(INDIRECT(ADDRESS(K18*2+2,3))),"",INDIRECT(ADDRESS(K18*2+2,3)))</f>
        <v>Мыльцева, Шустваль</v>
      </c>
      <c r="I18" s="105"/>
      <c r="J18" s="105"/>
      <c r="K18" s="55">
        <v>5</v>
      </c>
      <c r="L18" s="58" t="s">
        <v>11</v>
      </c>
      <c r="M18" s="59"/>
    </row>
    <row r="19" spans="1:13" s="53" customFormat="1" ht="30" customHeight="1" thickBot="1">
      <c r="A19" s="52"/>
      <c r="B19" s="55">
        <v>3</v>
      </c>
      <c r="C19" s="105" t="str">
        <f ca="1">IF(ISBLANK(INDIRECT(ADDRESS(B19*2+2,3))),"",INDIRECT(ADDRESS(B19*2+2,3)))</f>
        <v>Помазан Л., Дибров</v>
      </c>
      <c r="D19" s="105"/>
      <c r="E19" s="111"/>
      <c r="F19" s="56">
        <v>13</v>
      </c>
      <c r="G19" s="57">
        <v>2</v>
      </c>
      <c r="H19" s="104" t="str">
        <f ca="1">IF(ISBLANK(INDIRECT(ADDRESS(K19*2+2,3))),"",INDIRECT(ADDRESS(K19*2+2,3)))</f>
        <v>Балашова, Балашов</v>
      </c>
      <c r="I19" s="105"/>
      <c r="J19" s="105"/>
      <c r="K19" s="55">
        <v>4</v>
      </c>
      <c r="L19" s="58" t="s">
        <v>11</v>
      </c>
      <c r="M19" s="59"/>
    </row>
    <row r="20" spans="1:13" s="53" customFormat="1" ht="30" customHeight="1">
      <c r="A20" s="52"/>
      <c r="M20" s="60"/>
    </row>
    <row r="21" spans="1:13" s="53" customFormat="1" ht="30" customHeight="1" thickBot="1">
      <c r="A21" s="52"/>
      <c r="B21" s="113" t="s">
        <v>5</v>
      </c>
      <c r="C21" s="113"/>
      <c r="D21" s="113"/>
      <c r="E21" s="113"/>
      <c r="F21" s="113"/>
      <c r="G21" s="113"/>
      <c r="H21" s="113"/>
      <c r="I21" s="113"/>
      <c r="J21" s="113"/>
      <c r="K21" s="113"/>
      <c r="M21" s="60"/>
    </row>
    <row r="22" spans="1:13" s="53" customFormat="1" ht="30" customHeight="1" thickBot="1">
      <c r="A22" s="52"/>
      <c r="B22" s="55">
        <v>5</v>
      </c>
      <c r="C22" s="105" t="str">
        <f ca="1">IF(ISBLANK(INDIRECT(ADDRESS(B22*2+2,3))),"",INDIRECT(ADDRESS(B22*2+2,3)))</f>
        <v>Мыльцева, Шустваль</v>
      </c>
      <c r="D22" s="105"/>
      <c r="E22" s="111"/>
      <c r="F22" s="56">
        <v>13</v>
      </c>
      <c r="G22" s="57">
        <v>3</v>
      </c>
      <c r="H22" s="104" t="str">
        <f ca="1">IF(ISBLANK(INDIRECT(ADDRESS(K22*2+2,3))),"",INDIRECT(ADDRESS(K22*2+2,3)))</f>
        <v>Помазан Л., Дибров</v>
      </c>
      <c r="I22" s="105"/>
      <c r="J22" s="105"/>
      <c r="K22" s="55">
        <v>3</v>
      </c>
      <c r="L22" s="58" t="s">
        <v>11</v>
      </c>
      <c r="M22" s="59"/>
    </row>
    <row r="23" spans="1:13" s="53" customFormat="1" ht="30" customHeight="1" thickBot="1">
      <c r="A23" s="52"/>
      <c r="B23" s="55">
        <v>1</v>
      </c>
      <c r="C23" s="105" t="str">
        <f ca="1">IF(ISBLANK(INDIRECT(ADDRESS(B23*2+2,3))),"",INDIRECT(ADDRESS(B23*2+2,3)))</f>
        <v>Савельева, Аваков</v>
      </c>
      <c r="D23" s="105"/>
      <c r="E23" s="111"/>
      <c r="F23" s="56">
        <v>9</v>
      </c>
      <c r="G23" s="57">
        <v>4</v>
      </c>
      <c r="H23" s="104" t="str">
        <f ca="1">IF(ISBLANK(INDIRECT(ADDRESS(K23*2+2,3))),"",INDIRECT(ADDRESS(K23*2+2,3)))</f>
        <v>Автайкина, Коржов</v>
      </c>
      <c r="I23" s="105"/>
      <c r="J23" s="105"/>
      <c r="K23" s="55">
        <v>2</v>
      </c>
      <c r="L23" s="58" t="s">
        <v>11</v>
      </c>
      <c r="M23" s="59"/>
    </row>
    <row r="24" spans="1:13" s="53" customFormat="1" ht="30" customHeight="1">
      <c r="A24" s="52"/>
      <c r="M24" s="60"/>
    </row>
    <row r="25" spans="1:13" s="53" customFormat="1" ht="30" customHeight="1" thickBot="1">
      <c r="A25" s="52"/>
      <c r="B25" s="113" t="s">
        <v>6</v>
      </c>
      <c r="C25" s="113"/>
      <c r="D25" s="113"/>
      <c r="E25" s="113"/>
      <c r="F25" s="113"/>
      <c r="G25" s="113"/>
      <c r="H25" s="113"/>
      <c r="I25" s="113"/>
      <c r="J25" s="113"/>
      <c r="K25" s="113"/>
      <c r="M25" s="60"/>
    </row>
    <row r="26" spans="1:13" s="53" customFormat="1" ht="30" customHeight="1" thickBot="1">
      <c r="A26" s="52"/>
      <c r="B26" s="55">
        <v>3</v>
      </c>
      <c r="C26" s="105" t="str">
        <f ca="1">IF(ISBLANK(INDIRECT(ADDRESS(B26*2+2,3))),"",INDIRECT(ADDRESS(B26*2+2,3)))</f>
        <v>Помазан Л., Дибров</v>
      </c>
      <c r="D26" s="105"/>
      <c r="E26" s="111"/>
      <c r="F26" s="56">
        <v>13</v>
      </c>
      <c r="G26" s="57">
        <v>10</v>
      </c>
      <c r="H26" s="104" t="str">
        <f ca="1">IF(ISBLANK(INDIRECT(ADDRESS(K26*2+2,3))),"",INDIRECT(ADDRESS(K26*2+2,3)))</f>
        <v>Савельева, Аваков</v>
      </c>
      <c r="I26" s="105"/>
      <c r="J26" s="105"/>
      <c r="K26" s="55">
        <v>1</v>
      </c>
      <c r="L26" s="58" t="s">
        <v>11</v>
      </c>
      <c r="M26" s="59"/>
    </row>
    <row r="27" spans="1:13" s="53" customFormat="1" ht="30" customHeight="1" thickBot="1">
      <c r="A27" s="52"/>
      <c r="B27" s="55">
        <v>4</v>
      </c>
      <c r="C27" s="105" t="str">
        <f ca="1">IF(ISBLANK(INDIRECT(ADDRESS(B27*2+2,3))),"",INDIRECT(ADDRESS(B27*2+2,3)))</f>
        <v>Балашова, Балашов</v>
      </c>
      <c r="D27" s="105"/>
      <c r="E27" s="111"/>
      <c r="F27" s="56">
        <v>6</v>
      </c>
      <c r="G27" s="57">
        <v>13</v>
      </c>
      <c r="H27" s="104" t="str">
        <f ca="1">IF(ISBLANK(INDIRECT(ADDRESS(K27*2+2,3))),"",INDIRECT(ADDRESS(K27*2+2,3)))</f>
        <v>Мыльцева, Шустваль</v>
      </c>
      <c r="I27" s="105"/>
      <c r="J27" s="105"/>
      <c r="K27" s="55">
        <v>5</v>
      </c>
      <c r="L27" s="58" t="s">
        <v>11</v>
      </c>
      <c r="M27" s="59"/>
    </row>
    <row r="28" spans="1:13" s="53" customFormat="1" ht="30" customHeight="1">
      <c r="A28" s="52"/>
      <c r="M28" s="60"/>
    </row>
    <row r="29" spans="1:13" s="53" customFormat="1" ht="30" customHeight="1" thickBot="1">
      <c r="A29" s="52"/>
      <c r="B29" s="113" t="s">
        <v>8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0"/>
    </row>
    <row r="30" spans="1:13" s="53" customFormat="1" ht="30" customHeight="1" thickBot="1">
      <c r="A30" s="52"/>
      <c r="B30" s="55">
        <v>1</v>
      </c>
      <c r="C30" s="105" t="str">
        <f ca="1">IF(ISBLANK(INDIRECT(ADDRESS(B30*2+2,3))),"",INDIRECT(ADDRESS(B30*2+2,3)))</f>
        <v>Савельева, Аваков</v>
      </c>
      <c r="D30" s="105"/>
      <c r="E30" s="111"/>
      <c r="F30" s="56">
        <v>5</v>
      </c>
      <c r="G30" s="57">
        <v>13</v>
      </c>
      <c r="H30" s="104" t="str">
        <f ca="1">IF(ISBLANK(INDIRECT(ADDRESS(K30*2+2,3))),"",INDIRECT(ADDRESS(K30*2+2,3)))</f>
        <v>Балашова, Балашов</v>
      </c>
      <c r="I30" s="105"/>
      <c r="J30" s="105"/>
      <c r="K30" s="55">
        <v>4</v>
      </c>
      <c r="L30" s="58" t="s">
        <v>11</v>
      </c>
      <c r="M30" s="59"/>
    </row>
    <row r="31" spans="1:13" s="53" customFormat="1" ht="30" customHeight="1" thickBot="1">
      <c r="A31" s="52"/>
      <c r="B31" s="55">
        <v>2</v>
      </c>
      <c r="C31" s="105" t="str">
        <f ca="1">IF(ISBLANK(INDIRECT(ADDRESS(B31*2+2,3))),"",INDIRECT(ADDRESS(B31*2+2,3)))</f>
        <v>Автайкина, Коржов</v>
      </c>
      <c r="D31" s="105"/>
      <c r="E31" s="111"/>
      <c r="F31" s="56">
        <v>9</v>
      </c>
      <c r="G31" s="57">
        <v>13</v>
      </c>
      <c r="H31" s="104" t="str">
        <f ca="1">IF(ISBLANK(INDIRECT(ADDRESS(K31*2+2,3))),"",INDIRECT(ADDRESS(K31*2+2,3)))</f>
        <v>Помазан Л., Дибров</v>
      </c>
      <c r="I31" s="105"/>
      <c r="J31" s="105"/>
      <c r="K31" s="55">
        <v>3</v>
      </c>
      <c r="L31" s="58" t="s">
        <v>11</v>
      </c>
      <c r="M31" s="59"/>
    </row>
    <row r="32" spans="1:13" s="53" customFormat="1" ht="30" customHeight="1">
      <c r="A32" s="52"/>
      <c r="M32" s="60"/>
    </row>
    <row r="33" spans="1:13" s="53" customFormat="1" ht="30" customHeight="1" thickBot="1">
      <c r="A33" s="52"/>
      <c r="B33" s="113" t="s">
        <v>9</v>
      </c>
      <c r="C33" s="113"/>
      <c r="D33" s="113"/>
      <c r="E33" s="113"/>
      <c r="F33" s="113"/>
      <c r="G33" s="113"/>
      <c r="H33" s="113"/>
      <c r="I33" s="113"/>
      <c r="J33" s="113"/>
      <c r="K33" s="113"/>
      <c r="M33" s="60"/>
    </row>
    <row r="34" spans="1:13" s="53" customFormat="1" ht="30" customHeight="1" thickBot="1">
      <c r="A34" s="52"/>
      <c r="B34" s="55">
        <v>4</v>
      </c>
      <c r="C34" s="105" t="str">
        <f ca="1">IF(ISBLANK(INDIRECT(ADDRESS(B34*2+2,3))),"",INDIRECT(ADDRESS(B34*2+2,3)))</f>
        <v>Балашова, Балашов</v>
      </c>
      <c r="D34" s="105"/>
      <c r="E34" s="111"/>
      <c r="F34" s="56">
        <v>13</v>
      </c>
      <c r="G34" s="57">
        <v>1</v>
      </c>
      <c r="H34" s="104" t="str">
        <f ca="1">IF(ISBLANK(INDIRECT(ADDRESS(K34*2+2,3))),"",INDIRECT(ADDRESS(K34*2+2,3)))</f>
        <v>Автайкина, Коржов</v>
      </c>
      <c r="I34" s="105"/>
      <c r="J34" s="105"/>
      <c r="K34" s="55">
        <v>2</v>
      </c>
      <c r="L34" s="58" t="s">
        <v>11</v>
      </c>
      <c r="M34" s="59"/>
    </row>
    <row r="35" spans="1:13" s="53" customFormat="1" ht="30" customHeight="1" thickBot="1">
      <c r="A35" s="52"/>
      <c r="B35" s="55">
        <v>5</v>
      </c>
      <c r="C35" s="105" t="str">
        <f ca="1">IF(ISBLANK(INDIRECT(ADDRESS(B35*2+2,3))),"",INDIRECT(ADDRESS(B35*2+2,3)))</f>
        <v>Мыльцева, Шустваль</v>
      </c>
      <c r="D35" s="105"/>
      <c r="E35" s="111"/>
      <c r="F35" s="56">
        <v>10</v>
      </c>
      <c r="G35" s="57">
        <v>2</v>
      </c>
      <c r="H35" s="104" t="str">
        <f ca="1">IF(ISBLANK(INDIRECT(ADDRESS(K35*2+2,3))),"",INDIRECT(ADDRESS(K35*2+2,3)))</f>
        <v>Савельева, Аваков</v>
      </c>
      <c r="I35" s="105"/>
      <c r="J35" s="105"/>
      <c r="K35" s="55">
        <v>1</v>
      </c>
      <c r="L35" s="58" t="s">
        <v>11</v>
      </c>
      <c r="M35" s="59"/>
    </row>
    <row r="38" spans="1:13" ht="21">
      <c r="B38" s="11"/>
      <c r="C38" s="31" t="s">
        <v>23</v>
      </c>
      <c r="D38" s="31"/>
      <c r="E38" s="31"/>
      <c r="F38" s="10"/>
      <c r="G38" s="10"/>
      <c r="H38" s="10"/>
      <c r="I38" s="10"/>
      <c r="J38" s="10"/>
      <c r="K38" s="10"/>
    </row>
    <row r="39" spans="1:13" ht="21">
      <c r="B39" s="11"/>
      <c r="C39" s="31"/>
      <c r="D39" s="31"/>
      <c r="E39" s="31"/>
      <c r="F39" s="10"/>
      <c r="G39" s="10"/>
      <c r="H39" s="10"/>
      <c r="I39" s="10"/>
      <c r="J39" s="10"/>
      <c r="K39" s="10"/>
    </row>
    <row r="40" spans="1:13" ht="21">
      <c r="B40" s="11"/>
      <c r="C40" s="31"/>
      <c r="D40" s="31"/>
      <c r="E40" s="31"/>
      <c r="F40" s="10"/>
      <c r="G40" s="10"/>
      <c r="H40" s="10"/>
      <c r="I40" s="10"/>
      <c r="J40" s="10"/>
      <c r="K40" s="10"/>
    </row>
    <row r="41" spans="1:13" ht="21">
      <c r="B41" s="11"/>
      <c r="C41" s="31" t="s">
        <v>106</v>
      </c>
      <c r="D41" s="31"/>
      <c r="E41" s="31"/>
      <c r="F41" s="10"/>
      <c r="G41" s="10"/>
      <c r="H41" s="10"/>
      <c r="I41" s="10"/>
      <c r="J41" s="10"/>
      <c r="K41" s="10"/>
    </row>
  </sheetData>
  <sheetCalcPr fullCalcOnLoad="1"/>
  <mergeCells count="47">
    <mergeCell ref="H34:J34"/>
    <mergeCell ref="C27:E27"/>
    <mergeCell ref="H27:J27"/>
    <mergeCell ref="C35:E35"/>
    <mergeCell ref="H35:J35"/>
    <mergeCell ref="C30:E30"/>
    <mergeCell ref="H30:J30"/>
    <mergeCell ref="C31:E31"/>
    <mergeCell ref="H31:J31"/>
    <mergeCell ref="B33:K33"/>
    <mergeCell ref="C34:E34"/>
    <mergeCell ref="H22:J22"/>
    <mergeCell ref="C23:E23"/>
    <mergeCell ref="H23:J23"/>
    <mergeCell ref="B25:K25"/>
    <mergeCell ref="C26:E26"/>
    <mergeCell ref="H26:J26"/>
    <mergeCell ref="C12:E13"/>
    <mergeCell ref="K12:K13"/>
    <mergeCell ref="C18:E18"/>
    <mergeCell ref="M12:M13"/>
    <mergeCell ref="B17:K17"/>
    <mergeCell ref="B29:K29"/>
    <mergeCell ref="C19:E19"/>
    <mergeCell ref="H19:J19"/>
    <mergeCell ref="B21:K21"/>
    <mergeCell ref="C22:E22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B6:B7"/>
    <mergeCell ref="C6:E7"/>
    <mergeCell ref="K6:K7"/>
    <mergeCell ref="B1:M1"/>
    <mergeCell ref="M6:M7"/>
    <mergeCell ref="C3:E3"/>
    <mergeCell ref="B4:B5"/>
    <mergeCell ref="C4:E5"/>
    <mergeCell ref="K4:K5"/>
    <mergeCell ref="M4:M5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6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6" t="e">
        <f ca="1">#REF!&amp;#REF!</f>
        <v>#REF!</v>
      </c>
      <c r="J24" s="6" t="e">
        <f ca="1"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6" t="e">
        <f ca="1">#REF!&amp;#REF!</f>
        <v>#REF!</v>
      </c>
      <c r="J25" s="6" t="e">
        <f ca="1"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6" t="e">
        <f ca="1">#REF!&amp;#REF!</f>
        <v>#REF!</v>
      </c>
      <c r="J26" s="6" t="e">
        <f ca="1"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6" t="e">
        <f ca="1">#REF!&amp;#REF!</f>
        <v>#REF!</v>
      </c>
      <c r="J27" s="6" t="e">
        <f ca="1">#REF!&amp;#REF!</f>
        <v>#REF!</v>
      </c>
    </row>
    <row r="28" spans="9:28">
      <c r="I28" s="6" t="e">
        <f ca="1">#REF!&amp;#REF!</f>
        <v>#REF!</v>
      </c>
      <c r="J28" s="6" t="e">
        <f ca="1"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6" t="e">
        <f ca="1">#REF!&amp;#REF!</f>
        <v>#REF!</v>
      </c>
      <c r="J30" s="6" t="e">
        <f ca="1"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6" t="e">
        <f ca="1">#REF!&amp;#REF!</f>
        <v>#REF!</v>
      </c>
      <c r="J31" s="6" t="e">
        <f ca="1"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6" t="e">
        <f ca="1">#REF!&amp;#REF!</f>
        <v>#REF!</v>
      </c>
      <c r="J32" s="6" t="e">
        <f ca="1"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6" t="e">
        <f ca="1">#REF!&amp;#REF!</f>
        <v>#REF!</v>
      </c>
      <c r="J33" s="6" t="e">
        <f ca="1"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6" t="e">
        <f ca="1">#REF!&amp;#REF!</f>
        <v>#REF!</v>
      </c>
      <c r="J34" s="6" t="e">
        <f ca="1"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6" t="e">
        <f ca="1">#REF!&amp;#REF!</f>
        <v>#REF!</v>
      </c>
      <c r="J36" s="6" t="e">
        <f ca="1"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6" t="e">
        <f ca="1">#REF!&amp;#REF!</f>
        <v>#REF!</v>
      </c>
      <c r="J37" s="6" t="e">
        <f ca="1"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6" t="e">
        <f ca="1">#REF!&amp;#REF!</f>
        <v>#REF!</v>
      </c>
      <c r="J38" s="6" t="e">
        <f ca="1"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6" t="e">
        <f ca="1">#REF!&amp;#REF!</f>
        <v>#REF!</v>
      </c>
      <c r="J39" s="6" t="e">
        <f ca="1"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6" t="e">
        <f ca="1">#REF!&amp;#REF!</f>
        <v>#REF!</v>
      </c>
      <c r="J40" s="6" t="e">
        <f ca="1"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6" t="e">
        <f ca="1">#REF!&amp;#REF!</f>
        <v>#REF!</v>
      </c>
      <c r="J42" s="6" t="e">
        <f ca="1"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6" t="e">
        <f ca="1">#REF!&amp;#REF!</f>
        <v>#REF!</v>
      </c>
      <c r="J43" s="6" t="e">
        <f ca="1"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6" t="e">
        <f ca="1">#REF!&amp;#REF!</f>
        <v>#REF!</v>
      </c>
      <c r="J44" s="6" t="e">
        <f ca="1">#REF!&amp;#REF!</f>
        <v>#REF!</v>
      </c>
    </row>
    <row r="45" spans="9:19">
      <c r="I45" s="6" t="e">
        <f ca="1">#REF!&amp;#REF!</f>
        <v>#REF!</v>
      </c>
      <c r="J45" s="6" t="e">
        <f ca="1">#REF!&amp;#REF!</f>
        <v>#REF!</v>
      </c>
    </row>
    <row r="46" spans="9:19">
      <c r="I46" s="6" t="e">
        <f ca="1">#REF!&amp;#REF!</f>
        <v>#REF!</v>
      </c>
      <c r="J46" s="6" t="e">
        <f ca="1">#REF!&amp;#REF!</f>
        <v>#REF!</v>
      </c>
    </row>
    <row r="48" spans="9:19">
      <c r="I48" s="6" t="e">
        <f ca="1">#REF!&amp;#REF!</f>
        <v>#REF!</v>
      </c>
      <c r="J48" s="6" t="e">
        <f ca="1">#REF!&amp;#REF!</f>
        <v>#REF!</v>
      </c>
    </row>
    <row r="49" spans="9:10">
      <c r="I49" s="6" t="e">
        <f ca="1">#REF!&amp;#REF!</f>
        <v>#REF!</v>
      </c>
      <c r="J49" s="6" t="e">
        <f ca="1">#REF!&amp;#REF!</f>
        <v>#REF!</v>
      </c>
    </row>
    <row r="50" spans="9:10">
      <c r="I50" s="6" t="e">
        <f ca="1">#REF!&amp;#REF!</f>
        <v>#REF!</v>
      </c>
      <c r="J50" s="6" t="e">
        <f ca="1">#REF!&amp;#REF!</f>
        <v>#REF!</v>
      </c>
    </row>
    <row r="51" spans="9:10">
      <c r="I51" s="6" t="e">
        <f ca="1">#REF!&amp;#REF!</f>
        <v>#REF!</v>
      </c>
      <c r="J51" s="6" t="e">
        <f ca="1">#REF!&amp;#REF!</f>
        <v>#REF!</v>
      </c>
    </row>
    <row r="52" spans="9:10">
      <c r="I52" s="6" t="e">
        <f ca="1">#REF!&amp;#REF!</f>
        <v>#REF!</v>
      </c>
      <c r="J52" s="6" t="e">
        <f ca="1">#REF!&amp;#REF!</f>
        <v>#REF!</v>
      </c>
    </row>
    <row r="54" spans="9:10">
      <c r="I54" s="6" t="e">
        <f ca="1">#REF!&amp;#REF!</f>
        <v>#REF!</v>
      </c>
      <c r="J54" s="6" t="e">
        <f ca="1">#REF!&amp;#REF!</f>
        <v>#REF!</v>
      </c>
    </row>
    <row r="55" spans="9:10">
      <c r="I55" s="6" t="e">
        <f ca="1">#REF!&amp;#REF!</f>
        <v>#REF!</v>
      </c>
      <c r="J55" s="6" t="e">
        <f ca="1">#REF!&amp;#REF!</f>
        <v>#REF!</v>
      </c>
    </row>
    <row r="56" spans="9:10">
      <c r="I56" s="6" t="e">
        <f ca="1">#REF!&amp;#REF!</f>
        <v>#REF!</v>
      </c>
      <c r="J56" s="6" t="e">
        <f ca="1">#REF!&amp;#REF!</f>
        <v>#REF!</v>
      </c>
    </row>
    <row r="57" spans="9:10">
      <c r="I57" s="6" t="e">
        <f ca="1">#REF!&amp;#REF!</f>
        <v>#REF!</v>
      </c>
      <c r="J57" s="6" t="e">
        <f ca="1">#REF!&amp;#REF!</f>
        <v>#REF!</v>
      </c>
    </row>
    <row r="58" spans="9:10">
      <c r="I58" s="6" t="e">
        <f ca="1">#REF!&amp;#REF!</f>
        <v>#REF!</v>
      </c>
      <c r="J58" s="6" t="e">
        <f ca="1">#REF!&amp;#REF!</f>
        <v>#REF!</v>
      </c>
    </row>
    <row r="60" spans="9:10">
      <c r="I60" s="6" t="e">
        <f ca="1">#REF!&amp;#REF!</f>
        <v>#REF!</v>
      </c>
      <c r="J60" s="6" t="e">
        <f ca="1">#REF!&amp;#REF!</f>
        <v>#REF!</v>
      </c>
    </row>
    <row r="61" spans="9:10">
      <c r="I61" s="6" t="e">
        <f ca="1">#REF!&amp;#REF!</f>
        <v>#REF!</v>
      </c>
      <c r="J61" s="6" t="e">
        <f ca="1">#REF!&amp;#REF!</f>
        <v>#REF!</v>
      </c>
    </row>
    <row r="62" spans="9:10">
      <c r="I62" s="6" t="e">
        <f ca="1">#REF!&amp;#REF!</f>
        <v>#REF!</v>
      </c>
      <c r="J62" s="6" t="e">
        <f ca="1">#REF!&amp;#REF!</f>
        <v>#REF!</v>
      </c>
    </row>
    <row r="63" spans="9:10">
      <c r="I63" s="6" t="e">
        <f ca="1">#REF!&amp;#REF!</f>
        <v>#REF!</v>
      </c>
      <c r="J63" s="6" t="e">
        <f ca="1">#REF!&amp;#REF!</f>
        <v>#REF!</v>
      </c>
    </row>
    <row r="67" spans="12:12">
      <c r="L67" t="s">
        <v>10</v>
      </c>
    </row>
  </sheetData>
  <sheetCalcPr fullCalcOnLoad="1"/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opLeftCell="A25" workbookViewId="0">
      <selection activeCell="B38" sqref="B38:I41"/>
    </sheetView>
  </sheetViews>
  <sheetFormatPr defaultRowHeight="15"/>
  <cols>
    <col min="1" max="1" width="4" style="11" customWidth="1"/>
    <col min="2" max="12" width="10.28515625" customWidth="1"/>
    <col min="13" max="13" width="10.28515625" style="20" customWidth="1"/>
    <col min="14" max="15" width="10.28515625" customWidth="1"/>
  </cols>
  <sheetData>
    <row r="1" spans="2:16" ht="59.25" customHeight="1">
      <c r="B1" s="93" t="s">
        <v>34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61"/>
      <c r="O1" s="61"/>
      <c r="P1" s="61"/>
    </row>
    <row r="2" spans="2:16" ht="15.75" thickBot="1">
      <c r="M2"/>
    </row>
    <row r="3" spans="2:16" ht="30" customHeight="1" thickBot="1">
      <c r="B3" s="8"/>
      <c r="C3" s="95" t="s">
        <v>0</v>
      </c>
      <c r="D3" s="96"/>
      <c r="E3" s="97"/>
      <c r="F3" s="1">
        <v>1</v>
      </c>
      <c r="G3" s="1">
        <v>2</v>
      </c>
      <c r="H3" s="1">
        <v>3</v>
      </c>
      <c r="I3" s="2">
        <v>4</v>
      </c>
      <c r="J3" s="2">
        <v>5</v>
      </c>
      <c r="K3" s="8" t="s">
        <v>1</v>
      </c>
      <c r="L3" s="1" t="s">
        <v>3</v>
      </c>
      <c r="M3" s="7" t="s">
        <v>2</v>
      </c>
    </row>
    <row r="4" spans="2:16" ht="24" customHeight="1">
      <c r="B4" s="98">
        <v>1</v>
      </c>
      <c r="C4" s="99" t="s">
        <v>41</v>
      </c>
      <c r="D4" s="100"/>
      <c r="E4" s="101"/>
      <c r="F4" s="35" t="s">
        <v>7</v>
      </c>
      <c r="G4" s="36" t="str">
        <f ca="1">INDIRECT(ADDRESS(23,6))&amp;":"&amp;INDIRECT(ADDRESS(23,7))</f>
        <v>5:4</v>
      </c>
      <c r="H4" s="36" t="str">
        <f ca="1">INDIRECT(ADDRESS(26,7))&amp;":"&amp;INDIRECT(ADDRESS(26,6))</f>
        <v>10:6</v>
      </c>
      <c r="I4" s="36" t="str">
        <f ca="1">INDIRECT(ADDRESS(30,6))&amp;":"&amp;INDIRECT(ADDRESS(30,7))</f>
        <v>11:9</v>
      </c>
      <c r="J4" s="37" t="str">
        <f ca="1">INDIRECT(ADDRESS(35,7))&amp;":"&amp;INDIRECT(ADDRESS(35,6))</f>
        <v>7:4</v>
      </c>
      <c r="K4" s="102">
        <f ca="1">IF(COUNT(F5:J5)=0,"",COUNTIF(F5:J5,"&gt;0")+0.5*COUNTIF(F5:J5,0))</f>
        <v>4</v>
      </c>
      <c r="L4" s="38"/>
      <c r="M4" s="103">
        <v>1</v>
      </c>
    </row>
    <row r="5" spans="2:16" ht="24" customHeight="1">
      <c r="B5" s="88"/>
      <c r="C5" s="89"/>
      <c r="D5" s="90"/>
      <c r="E5" s="91"/>
      <c r="F5" s="39" t="s">
        <v>7</v>
      </c>
      <c r="G5" s="40">
        <f ca="1">IF(LEN(INDIRECT(ADDRESS(ROW()-1, COLUMN())))=1,"",INDIRECT(ADDRESS(23,6))-INDIRECT(ADDRESS(23,7)))</f>
        <v>1</v>
      </c>
      <c r="H5" s="40">
        <f ca="1">IF(LEN(INDIRECT(ADDRESS(ROW()-1, COLUMN())))=1,"",INDIRECT(ADDRESS(26,7))-INDIRECT(ADDRESS(26,6)))</f>
        <v>4</v>
      </c>
      <c r="I5" s="40">
        <f ca="1">IF(LEN(INDIRECT(ADDRESS(ROW()-1, COLUMN())))=1,"",INDIRECT(ADDRESS(30,6))-INDIRECT(ADDRESS(30,7)))</f>
        <v>2</v>
      </c>
      <c r="J5" s="41">
        <f ca="1">IF(LEN(INDIRECT(ADDRESS(ROW()-1, COLUMN())))=1,"",INDIRECT(ADDRESS(35,7))-INDIRECT(ADDRESS(35,6)))</f>
        <v>3</v>
      </c>
      <c r="K5" s="92"/>
      <c r="L5" s="40">
        <f ca="1">IF(COUNT(F5:J5)=0,"",SUM(F5:J5))</f>
        <v>10</v>
      </c>
      <c r="M5" s="94"/>
    </row>
    <row r="6" spans="2:16" ht="24" customHeight="1">
      <c r="B6" s="87">
        <v>2</v>
      </c>
      <c r="C6" s="89" t="s">
        <v>42</v>
      </c>
      <c r="D6" s="90"/>
      <c r="E6" s="91"/>
      <c r="F6" s="42" t="str">
        <f ca="1">INDIRECT(ADDRESS(23,7))&amp;":"&amp;INDIRECT(ADDRESS(23,6))</f>
        <v>4:5</v>
      </c>
      <c r="G6" s="43" t="s">
        <v>7</v>
      </c>
      <c r="H6" s="44" t="str">
        <f ca="1">INDIRECT(ADDRESS(31,6))&amp;":"&amp;INDIRECT(ADDRESS(31,7))</f>
        <v>12:5</v>
      </c>
      <c r="I6" s="44" t="str">
        <f ca="1">INDIRECT(ADDRESS(34,7))&amp;":"&amp;INDIRECT(ADDRESS(34,6))</f>
        <v>5:13</v>
      </c>
      <c r="J6" s="45" t="str">
        <f ca="1">INDIRECT(ADDRESS(18,6))&amp;":"&amp;INDIRECT(ADDRESS(18,7))</f>
        <v>13:3</v>
      </c>
      <c r="K6" s="92">
        <f ca="1">IF(COUNT(F7:J7)=0,"",COUNTIF(F7:J7,"&gt;0")+0.5*COUNTIF(F7:J7,0))</f>
        <v>2</v>
      </c>
      <c r="L6" s="40"/>
      <c r="M6" s="94">
        <v>3</v>
      </c>
    </row>
    <row r="7" spans="2:16" ht="24" customHeight="1">
      <c r="B7" s="88"/>
      <c r="C7" s="89"/>
      <c r="D7" s="90"/>
      <c r="E7" s="91"/>
      <c r="F7" s="46">
        <f ca="1">IF(LEN(INDIRECT(ADDRESS(ROW()-1, COLUMN())))=1,"",INDIRECT(ADDRESS(23,7))-INDIRECT(ADDRESS(23,6)))</f>
        <v>-1</v>
      </c>
      <c r="G7" s="47" t="s">
        <v>7</v>
      </c>
      <c r="H7" s="40">
        <f ca="1">IF(LEN(INDIRECT(ADDRESS(ROW()-1, COLUMN())))=1,"",INDIRECT(ADDRESS(31,6))-INDIRECT(ADDRESS(31,7)))</f>
        <v>7</v>
      </c>
      <c r="I7" s="40">
        <f ca="1">IF(LEN(INDIRECT(ADDRESS(ROW()-1, COLUMN())))=1,"",INDIRECT(ADDRESS(34,7))-INDIRECT(ADDRESS(34,6)))</f>
        <v>-8</v>
      </c>
      <c r="J7" s="41">
        <f ca="1">IF(LEN(INDIRECT(ADDRESS(ROW()-1, COLUMN())))=1,"",INDIRECT(ADDRESS(18,6))-INDIRECT(ADDRESS(18,7)))</f>
        <v>10</v>
      </c>
      <c r="K7" s="92"/>
      <c r="L7" s="40">
        <f ca="1">IF(COUNT(F7:J7)=0,"",SUM(F7:J7))</f>
        <v>8</v>
      </c>
      <c r="M7" s="94"/>
    </row>
    <row r="8" spans="2:16" ht="24" customHeight="1">
      <c r="B8" s="87">
        <v>3</v>
      </c>
      <c r="C8" s="89" t="s">
        <v>43</v>
      </c>
      <c r="D8" s="90"/>
      <c r="E8" s="91"/>
      <c r="F8" s="42" t="str">
        <f ca="1">INDIRECT(ADDRESS(26,6))&amp;":"&amp;INDIRECT(ADDRESS(26,7))</f>
        <v>6:10</v>
      </c>
      <c r="G8" s="44" t="str">
        <f ca="1">INDIRECT(ADDRESS(31,7))&amp;":"&amp;INDIRECT(ADDRESS(31,6))</f>
        <v>5:12</v>
      </c>
      <c r="H8" s="43" t="s">
        <v>7</v>
      </c>
      <c r="I8" s="44" t="str">
        <f ca="1">INDIRECT(ADDRESS(19,6))&amp;":"&amp;INDIRECT(ADDRESS(19,7))</f>
        <v>9:13</v>
      </c>
      <c r="J8" s="45" t="str">
        <f ca="1">INDIRECT(ADDRESS(22,7))&amp;":"&amp;INDIRECT(ADDRESS(22,6))</f>
        <v>10:4</v>
      </c>
      <c r="K8" s="92">
        <f ca="1">IF(COUNT(F9:J9)=0,"",COUNTIF(F9:J9,"&gt;0")+0.5*COUNTIF(F9:J9,0))</f>
        <v>1</v>
      </c>
      <c r="L8" s="40"/>
      <c r="M8" s="94">
        <v>4</v>
      </c>
    </row>
    <row r="9" spans="2:16" ht="24" customHeight="1">
      <c r="B9" s="88"/>
      <c r="C9" s="89"/>
      <c r="D9" s="90"/>
      <c r="E9" s="91"/>
      <c r="F9" s="46">
        <f ca="1">IF(LEN(INDIRECT(ADDRESS(ROW()-1, COLUMN())))=1,"",INDIRECT(ADDRESS(26,6))-INDIRECT(ADDRESS(26,7)))</f>
        <v>-4</v>
      </c>
      <c r="G9" s="40">
        <f ca="1">IF(LEN(INDIRECT(ADDRESS(ROW()-1, COLUMN())))=1,"",INDIRECT(ADDRESS(31,7))-INDIRECT(ADDRESS(31,6)))</f>
        <v>-7</v>
      </c>
      <c r="H9" s="47" t="s">
        <v>7</v>
      </c>
      <c r="I9" s="40">
        <f ca="1">IF(LEN(INDIRECT(ADDRESS(ROW()-1, COLUMN())))=1,"",INDIRECT(ADDRESS(19,6))-INDIRECT(ADDRESS(19,7)))</f>
        <v>-4</v>
      </c>
      <c r="J9" s="41">
        <f ca="1">IF(LEN(INDIRECT(ADDRESS(ROW()-1, COLUMN())))=1,"",INDIRECT(ADDRESS(22,7))-INDIRECT(ADDRESS(22,6)))</f>
        <v>6</v>
      </c>
      <c r="K9" s="92"/>
      <c r="L9" s="40">
        <f ca="1">IF(COUNT(F9:J9)=0,"",SUM(F9:J9))</f>
        <v>-9</v>
      </c>
      <c r="M9" s="94"/>
    </row>
    <row r="10" spans="2:16" ht="24" customHeight="1">
      <c r="B10" s="87">
        <v>4</v>
      </c>
      <c r="C10" s="89" t="s">
        <v>44</v>
      </c>
      <c r="D10" s="90"/>
      <c r="E10" s="91"/>
      <c r="F10" s="42" t="str">
        <f ca="1">INDIRECT(ADDRESS(30,7))&amp;":"&amp;INDIRECT(ADDRESS(30,6))</f>
        <v>9:11</v>
      </c>
      <c r="G10" s="44" t="str">
        <f ca="1">INDIRECT(ADDRESS(34,6))&amp;":"&amp;INDIRECT(ADDRESS(34,7))</f>
        <v>13:5</v>
      </c>
      <c r="H10" s="44" t="str">
        <f ca="1">INDIRECT(ADDRESS(19,7))&amp;":"&amp;INDIRECT(ADDRESS(19,6))</f>
        <v>13:9</v>
      </c>
      <c r="I10" s="43" t="s">
        <v>7</v>
      </c>
      <c r="J10" s="45" t="str">
        <f ca="1">INDIRECT(ADDRESS(27,6))&amp;":"&amp;INDIRECT(ADDRESS(27,7))</f>
        <v>10:9</v>
      </c>
      <c r="K10" s="92">
        <f ca="1">IF(COUNT(F11:J11)=0,"",COUNTIF(F11:J11,"&gt;0")+0.5*COUNTIF(F11:J11,0))</f>
        <v>3</v>
      </c>
      <c r="L10" s="40"/>
      <c r="M10" s="94">
        <v>2</v>
      </c>
    </row>
    <row r="11" spans="2:16" ht="24" customHeight="1">
      <c r="B11" s="88"/>
      <c r="C11" s="89"/>
      <c r="D11" s="90"/>
      <c r="E11" s="91"/>
      <c r="F11" s="46">
        <f ca="1">IF(LEN(INDIRECT(ADDRESS(ROW()-1, COLUMN())))=1,"",INDIRECT(ADDRESS(30,7))-INDIRECT(ADDRESS(30,6)))</f>
        <v>-2</v>
      </c>
      <c r="G11" s="40">
        <f ca="1">IF(LEN(INDIRECT(ADDRESS(ROW()-1, COLUMN())))=1,"",INDIRECT(ADDRESS(34,6))-INDIRECT(ADDRESS(34,7)))</f>
        <v>8</v>
      </c>
      <c r="H11" s="40">
        <f ca="1">IF(LEN(INDIRECT(ADDRESS(ROW()-1, COLUMN())))=1,"",INDIRECT(ADDRESS(19,7))-INDIRECT(ADDRESS(19,6)))</f>
        <v>4</v>
      </c>
      <c r="I11" s="47" t="s">
        <v>7</v>
      </c>
      <c r="J11" s="41">
        <f ca="1">IF(LEN(INDIRECT(ADDRESS(ROW()-1, COLUMN())))=1,"",INDIRECT(ADDRESS(27,6))-INDIRECT(ADDRESS(27,7)))</f>
        <v>1</v>
      </c>
      <c r="K11" s="92"/>
      <c r="L11" s="40">
        <f ca="1">IF(COUNT(F11:J11)=0,"",SUM(F11:J11))</f>
        <v>11</v>
      </c>
      <c r="M11" s="94"/>
    </row>
    <row r="12" spans="2:16" ht="24" customHeight="1">
      <c r="B12" s="87">
        <v>5</v>
      </c>
      <c r="C12" s="89" t="s">
        <v>45</v>
      </c>
      <c r="D12" s="90"/>
      <c r="E12" s="91"/>
      <c r="F12" s="42" t="str">
        <f ca="1">INDIRECT(ADDRESS(35,6))&amp;":"&amp;INDIRECT(ADDRESS(35,7))</f>
        <v>4:7</v>
      </c>
      <c r="G12" s="44" t="str">
        <f ca="1">INDIRECT(ADDRESS(18,7))&amp;":"&amp;INDIRECT(ADDRESS(18,6))</f>
        <v>3:13</v>
      </c>
      <c r="H12" s="44" t="str">
        <f ca="1">INDIRECT(ADDRESS(22,6))&amp;":"&amp;INDIRECT(ADDRESS(22,7))</f>
        <v>4:10</v>
      </c>
      <c r="I12" s="44" t="str">
        <f ca="1">INDIRECT(ADDRESS(27,7))&amp;":"&amp;INDIRECT(ADDRESS(27,6))</f>
        <v>9:10</v>
      </c>
      <c r="J12" s="48" t="s">
        <v>7</v>
      </c>
      <c r="K12" s="92">
        <f ca="1">IF(COUNT(F13:J13)=0,"",COUNTIF(F13:J13,"&gt;0")+0.5*COUNTIF(F13:J13,0))</f>
        <v>0</v>
      </c>
      <c r="L12" s="40"/>
      <c r="M12" s="94">
        <v>5</v>
      </c>
    </row>
    <row r="13" spans="2:16" ht="24" customHeight="1" thickBot="1">
      <c r="B13" s="106"/>
      <c r="C13" s="107"/>
      <c r="D13" s="108"/>
      <c r="E13" s="109"/>
      <c r="F13" s="49">
        <f ca="1">IF(LEN(INDIRECT(ADDRESS(ROW()-1, COLUMN())))=1,"",INDIRECT(ADDRESS(35,6))-INDIRECT(ADDRESS(35,7)))</f>
        <v>-3</v>
      </c>
      <c r="G13" s="50">
        <f ca="1">IF(LEN(INDIRECT(ADDRESS(ROW()-1, COLUMN())))=1,"",INDIRECT(ADDRESS(18,7))-INDIRECT(ADDRESS(18,6)))</f>
        <v>-10</v>
      </c>
      <c r="H13" s="50">
        <f ca="1">IF(LEN(INDIRECT(ADDRESS(ROW()-1, COLUMN())))=1,"",INDIRECT(ADDRESS(22,6))-INDIRECT(ADDRESS(22,7)))</f>
        <v>-6</v>
      </c>
      <c r="I13" s="50">
        <f ca="1">IF(LEN(INDIRECT(ADDRESS(ROW()-1, COLUMN())))=1,"",INDIRECT(ADDRESS(27,7))-INDIRECT(ADDRESS(27,6)))</f>
        <v>-1</v>
      </c>
      <c r="J13" s="51" t="s">
        <v>7</v>
      </c>
      <c r="K13" s="110"/>
      <c r="L13" s="50">
        <f ca="1">IF(COUNT(F13:J13)=0,"",SUM(F13:J13))</f>
        <v>-20</v>
      </c>
      <c r="M13" s="112"/>
    </row>
    <row r="14" spans="2:16">
      <c r="M14"/>
    </row>
    <row r="15" spans="2:16">
      <c r="M15"/>
    </row>
    <row r="16" spans="2:16">
      <c r="M16"/>
    </row>
    <row r="17" spans="1:13" s="53" customFormat="1" ht="30" customHeight="1" thickBot="1">
      <c r="A17" s="52"/>
      <c r="B17" s="113" t="s">
        <v>4</v>
      </c>
      <c r="C17" s="113"/>
      <c r="D17" s="113"/>
      <c r="E17" s="113"/>
      <c r="F17" s="113"/>
      <c r="G17" s="113"/>
      <c r="H17" s="113"/>
      <c r="I17" s="113"/>
      <c r="J17" s="113"/>
      <c r="K17" s="113"/>
      <c r="M17" s="54"/>
    </row>
    <row r="18" spans="1:13" s="53" customFormat="1" ht="30" customHeight="1" thickBot="1">
      <c r="A18" s="52"/>
      <c r="B18" s="55">
        <v>2</v>
      </c>
      <c r="C18" s="105" t="str">
        <f ca="1">IF(ISBLANK(INDIRECT(ADDRESS(B18*2+2,3))),"",INDIRECT(ADDRESS(B18*2+2,3)))</f>
        <v>Фёдорова Л., Луданов</v>
      </c>
      <c r="D18" s="105"/>
      <c r="E18" s="111"/>
      <c r="F18" s="56">
        <v>13</v>
      </c>
      <c r="G18" s="57">
        <v>3</v>
      </c>
      <c r="H18" s="104" t="str">
        <f ca="1">IF(ISBLANK(INDIRECT(ADDRESS(K18*2+2,3))),"",INDIRECT(ADDRESS(K18*2+2,3)))</f>
        <v>Погорелова, Танчин</v>
      </c>
      <c r="I18" s="105"/>
      <c r="J18" s="105"/>
      <c r="K18" s="55">
        <v>5</v>
      </c>
      <c r="L18" s="58" t="s">
        <v>11</v>
      </c>
      <c r="M18" s="59"/>
    </row>
    <row r="19" spans="1:13" s="53" customFormat="1" ht="30" customHeight="1" thickBot="1">
      <c r="A19" s="52"/>
      <c r="B19" s="55">
        <v>3</v>
      </c>
      <c r="C19" s="105" t="str">
        <f ca="1">IF(ISBLANK(INDIRECT(ADDRESS(B19*2+2,3))),"",INDIRECT(ADDRESS(B19*2+2,3)))</f>
        <v>Шапка, Малов</v>
      </c>
      <c r="D19" s="105"/>
      <c r="E19" s="111"/>
      <c r="F19" s="56">
        <v>9</v>
      </c>
      <c r="G19" s="57">
        <v>13</v>
      </c>
      <c r="H19" s="104" t="str">
        <f ca="1">IF(ISBLANK(INDIRECT(ADDRESS(K19*2+2,3))),"",INDIRECT(ADDRESS(K19*2+2,3)))</f>
        <v>Фёдорова А., Лукин</v>
      </c>
      <c r="I19" s="105"/>
      <c r="J19" s="105"/>
      <c r="K19" s="55">
        <v>4</v>
      </c>
      <c r="L19" s="58" t="s">
        <v>11</v>
      </c>
      <c r="M19" s="59"/>
    </row>
    <row r="20" spans="1:13" s="53" customFormat="1" ht="30" customHeight="1">
      <c r="A20" s="52"/>
      <c r="M20" s="60"/>
    </row>
    <row r="21" spans="1:13" s="53" customFormat="1" ht="30" customHeight="1" thickBot="1">
      <c r="A21" s="52"/>
      <c r="B21" s="113" t="s">
        <v>5</v>
      </c>
      <c r="C21" s="113"/>
      <c r="D21" s="113"/>
      <c r="E21" s="113"/>
      <c r="F21" s="113"/>
      <c r="G21" s="113"/>
      <c r="H21" s="113"/>
      <c r="I21" s="113"/>
      <c r="J21" s="113"/>
      <c r="K21" s="113"/>
      <c r="M21" s="60"/>
    </row>
    <row r="22" spans="1:13" s="53" customFormat="1" ht="30" customHeight="1" thickBot="1">
      <c r="A22" s="52"/>
      <c r="B22" s="55">
        <v>5</v>
      </c>
      <c r="C22" s="105" t="str">
        <f ca="1">IF(ISBLANK(INDIRECT(ADDRESS(B22*2+2,3))),"",INDIRECT(ADDRESS(B22*2+2,3)))</f>
        <v>Погорелова, Танчин</v>
      </c>
      <c r="D22" s="105"/>
      <c r="E22" s="111"/>
      <c r="F22" s="56">
        <v>4</v>
      </c>
      <c r="G22" s="57">
        <v>10</v>
      </c>
      <c r="H22" s="104" t="str">
        <f ca="1">IF(ISBLANK(INDIRECT(ADDRESS(K22*2+2,3))),"",INDIRECT(ADDRESS(K22*2+2,3)))</f>
        <v>Шапка, Малов</v>
      </c>
      <c r="I22" s="105"/>
      <c r="J22" s="105"/>
      <c r="K22" s="55">
        <v>3</v>
      </c>
      <c r="L22" s="58" t="s">
        <v>11</v>
      </c>
      <c r="M22" s="59"/>
    </row>
    <row r="23" spans="1:13" s="53" customFormat="1" ht="30" customHeight="1" thickBot="1">
      <c r="A23" s="52"/>
      <c r="B23" s="55">
        <v>1</v>
      </c>
      <c r="C23" s="105" t="str">
        <f ca="1">IF(ISBLANK(INDIRECT(ADDRESS(B23*2+2,3))),"",INDIRECT(ADDRESS(B23*2+2,3)))</f>
        <v>Семченкова, Нечаев</v>
      </c>
      <c r="D23" s="105"/>
      <c r="E23" s="111"/>
      <c r="F23" s="56">
        <v>5</v>
      </c>
      <c r="G23" s="57">
        <v>4</v>
      </c>
      <c r="H23" s="104" t="str">
        <f ca="1">IF(ISBLANK(INDIRECT(ADDRESS(K23*2+2,3))),"",INDIRECT(ADDRESS(K23*2+2,3)))</f>
        <v>Фёдорова Л., Луданов</v>
      </c>
      <c r="I23" s="105"/>
      <c r="J23" s="105"/>
      <c r="K23" s="55">
        <v>2</v>
      </c>
      <c r="L23" s="58" t="s">
        <v>11</v>
      </c>
      <c r="M23" s="59"/>
    </row>
    <row r="24" spans="1:13" s="53" customFormat="1" ht="30" customHeight="1">
      <c r="A24" s="52"/>
      <c r="M24" s="60"/>
    </row>
    <row r="25" spans="1:13" s="53" customFormat="1" ht="30" customHeight="1" thickBot="1">
      <c r="A25" s="52"/>
      <c r="B25" s="113" t="s">
        <v>6</v>
      </c>
      <c r="C25" s="113"/>
      <c r="D25" s="113"/>
      <c r="E25" s="113"/>
      <c r="F25" s="113"/>
      <c r="G25" s="113"/>
      <c r="H25" s="113"/>
      <c r="I25" s="113"/>
      <c r="J25" s="113"/>
      <c r="K25" s="113"/>
      <c r="M25" s="60"/>
    </row>
    <row r="26" spans="1:13" s="53" customFormat="1" ht="30" customHeight="1" thickBot="1">
      <c r="A26" s="52"/>
      <c r="B26" s="55">
        <v>3</v>
      </c>
      <c r="C26" s="105" t="str">
        <f ca="1">IF(ISBLANK(INDIRECT(ADDRESS(B26*2+2,3))),"",INDIRECT(ADDRESS(B26*2+2,3)))</f>
        <v>Шапка, Малов</v>
      </c>
      <c r="D26" s="105"/>
      <c r="E26" s="111"/>
      <c r="F26" s="56">
        <v>6</v>
      </c>
      <c r="G26" s="57">
        <v>10</v>
      </c>
      <c r="H26" s="104" t="str">
        <f ca="1">IF(ISBLANK(INDIRECT(ADDRESS(K26*2+2,3))),"",INDIRECT(ADDRESS(K26*2+2,3)))</f>
        <v>Семченкова, Нечаев</v>
      </c>
      <c r="I26" s="105"/>
      <c r="J26" s="105"/>
      <c r="K26" s="55">
        <v>1</v>
      </c>
      <c r="L26" s="58" t="s">
        <v>11</v>
      </c>
      <c r="M26" s="59"/>
    </row>
    <row r="27" spans="1:13" s="53" customFormat="1" ht="30" customHeight="1" thickBot="1">
      <c r="A27" s="52"/>
      <c r="B27" s="55">
        <v>4</v>
      </c>
      <c r="C27" s="105" t="str">
        <f ca="1">IF(ISBLANK(INDIRECT(ADDRESS(B27*2+2,3))),"",INDIRECT(ADDRESS(B27*2+2,3)))</f>
        <v>Фёдорова А., Лукин</v>
      </c>
      <c r="D27" s="105"/>
      <c r="E27" s="111"/>
      <c r="F27" s="56">
        <v>10</v>
      </c>
      <c r="G27" s="57">
        <v>9</v>
      </c>
      <c r="H27" s="104" t="str">
        <f ca="1">IF(ISBLANK(INDIRECT(ADDRESS(K27*2+2,3))),"",INDIRECT(ADDRESS(K27*2+2,3)))</f>
        <v>Погорелова, Танчин</v>
      </c>
      <c r="I27" s="105"/>
      <c r="J27" s="105"/>
      <c r="K27" s="55">
        <v>5</v>
      </c>
      <c r="L27" s="58" t="s">
        <v>11</v>
      </c>
      <c r="M27" s="59"/>
    </row>
    <row r="28" spans="1:13" s="53" customFormat="1" ht="30" customHeight="1">
      <c r="A28" s="52"/>
      <c r="M28" s="60"/>
    </row>
    <row r="29" spans="1:13" s="53" customFormat="1" ht="30" customHeight="1" thickBot="1">
      <c r="A29" s="52"/>
      <c r="B29" s="113" t="s">
        <v>8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0"/>
    </row>
    <row r="30" spans="1:13" s="53" customFormat="1" ht="30" customHeight="1" thickBot="1">
      <c r="A30" s="52"/>
      <c r="B30" s="55">
        <v>1</v>
      </c>
      <c r="C30" s="105" t="str">
        <f ca="1">IF(ISBLANK(INDIRECT(ADDRESS(B30*2+2,3))),"",INDIRECT(ADDRESS(B30*2+2,3)))</f>
        <v>Семченкова, Нечаев</v>
      </c>
      <c r="D30" s="105"/>
      <c r="E30" s="111"/>
      <c r="F30" s="56">
        <v>11</v>
      </c>
      <c r="G30" s="57">
        <v>9</v>
      </c>
      <c r="H30" s="104" t="str">
        <f ca="1">IF(ISBLANK(INDIRECT(ADDRESS(K30*2+2,3))),"",INDIRECT(ADDRESS(K30*2+2,3)))</f>
        <v>Фёдорова А., Лукин</v>
      </c>
      <c r="I30" s="105"/>
      <c r="J30" s="105"/>
      <c r="K30" s="55">
        <v>4</v>
      </c>
      <c r="L30" s="58" t="s">
        <v>11</v>
      </c>
      <c r="M30" s="59"/>
    </row>
    <row r="31" spans="1:13" s="53" customFormat="1" ht="30" customHeight="1" thickBot="1">
      <c r="A31" s="52"/>
      <c r="B31" s="55">
        <v>2</v>
      </c>
      <c r="C31" s="105" t="str">
        <f ca="1">IF(ISBLANK(INDIRECT(ADDRESS(B31*2+2,3))),"",INDIRECT(ADDRESS(B31*2+2,3)))</f>
        <v>Фёдорова Л., Луданов</v>
      </c>
      <c r="D31" s="105"/>
      <c r="E31" s="111"/>
      <c r="F31" s="56">
        <v>12</v>
      </c>
      <c r="G31" s="57">
        <v>5</v>
      </c>
      <c r="H31" s="104" t="str">
        <f ca="1">IF(ISBLANK(INDIRECT(ADDRESS(K31*2+2,3))),"",INDIRECT(ADDRESS(K31*2+2,3)))</f>
        <v>Шапка, Малов</v>
      </c>
      <c r="I31" s="105"/>
      <c r="J31" s="105"/>
      <c r="K31" s="55">
        <v>3</v>
      </c>
      <c r="L31" s="58" t="s">
        <v>11</v>
      </c>
      <c r="M31" s="59"/>
    </row>
    <row r="32" spans="1:13" s="53" customFormat="1" ht="30" customHeight="1">
      <c r="A32" s="52"/>
      <c r="M32" s="60"/>
    </row>
    <row r="33" spans="1:13" s="53" customFormat="1" ht="30" customHeight="1" thickBot="1">
      <c r="A33" s="52"/>
      <c r="B33" s="113" t="s">
        <v>9</v>
      </c>
      <c r="C33" s="113"/>
      <c r="D33" s="113"/>
      <c r="E33" s="113"/>
      <c r="F33" s="113"/>
      <c r="G33" s="113"/>
      <c r="H33" s="113"/>
      <c r="I33" s="113"/>
      <c r="J33" s="113"/>
      <c r="K33" s="113"/>
      <c r="M33" s="60"/>
    </row>
    <row r="34" spans="1:13" s="53" customFormat="1" ht="30" customHeight="1" thickBot="1">
      <c r="A34" s="52"/>
      <c r="B34" s="55">
        <v>4</v>
      </c>
      <c r="C34" s="105" t="str">
        <f ca="1">IF(ISBLANK(INDIRECT(ADDRESS(B34*2+2,3))),"",INDIRECT(ADDRESS(B34*2+2,3)))</f>
        <v>Фёдорова А., Лукин</v>
      </c>
      <c r="D34" s="105"/>
      <c r="E34" s="111"/>
      <c r="F34" s="56">
        <v>13</v>
      </c>
      <c r="G34" s="57">
        <v>5</v>
      </c>
      <c r="H34" s="104" t="str">
        <f ca="1">IF(ISBLANK(INDIRECT(ADDRESS(K34*2+2,3))),"",INDIRECT(ADDRESS(K34*2+2,3)))</f>
        <v>Фёдорова Л., Луданов</v>
      </c>
      <c r="I34" s="105"/>
      <c r="J34" s="105"/>
      <c r="K34" s="55">
        <v>2</v>
      </c>
      <c r="L34" s="58" t="s">
        <v>11</v>
      </c>
      <c r="M34" s="59"/>
    </row>
    <row r="35" spans="1:13" s="53" customFormat="1" ht="30" customHeight="1" thickBot="1">
      <c r="A35" s="52"/>
      <c r="B35" s="55">
        <v>5</v>
      </c>
      <c r="C35" s="105" t="str">
        <f ca="1">IF(ISBLANK(INDIRECT(ADDRESS(B35*2+2,3))),"",INDIRECT(ADDRESS(B35*2+2,3)))</f>
        <v>Погорелова, Танчин</v>
      </c>
      <c r="D35" s="105"/>
      <c r="E35" s="111"/>
      <c r="F35" s="56">
        <v>4</v>
      </c>
      <c r="G35" s="57">
        <v>7</v>
      </c>
      <c r="H35" s="104" t="str">
        <f ca="1">IF(ISBLANK(INDIRECT(ADDRESS(K35*2+2,3))),"",INDIRECT(ADDRESS(K35*2+2,3)))</f>
        <v>Семченкова, Нечаев</v>
      </c>
      <c r="I35" s="105"/>
      <c r="J35" s="105"/>
      <c r="K35" s="55">
        <v>1</v>
      </c>
      <c r="L35" s="58" t="s">
        <v>11</v>
      </c>
      <c r="M35" s="59"/>
    </row>
    <row r="38" spans="1:13" ht="21">
      <c r="B38" s="11"/>
      <c r="C38" s="31" t="s">
        <v>23</v>
      </c>
      <c r="D38" s="31"/>
      <c r="E38" s="31"/>
      <c r="F38" s="10"/>
      <c r="G38" s="10"/>
      <c r="H38" s="10"/>
      <c r="I38" s="10"/>
    </row>
    <row r="39" spans="1:13" ht="21">
      <c r="B39" s="11"/>
      <c r="C39" s="31"/>
      <c r="D39" s="31"/>
      <c r="E39" s="31"/>
      <c r="F39" s="10"/>
      <c r="G39" s="10"/>
      <c r="H39" s="10"/>
      <c r="I39" s="10"/>
    </row>
    <row r="40" spans="1:13" ht="21">
      <c r="B40" s="11"/>
      <c r="C40" s="31"/>
      <c r="D40" s="31"/>
      <c r="E40" s="31"/>
      <c r="F40" s="10"/>
      <c r="G40" s="10"/>
      <c r="H40" s="10"/>
      <c r="I40" s="10"/>
    </row>
    <row r="41" spans="1:13" ht="21">
      <c r="B41" s="11"/>
      <c r="C41" s="31" t="s">
        <v>106</v>
      </c>
      <c r="D41" s="31"/>
      <c r="E41" s="31"/>
      <c r="F41" s="10"/>
      <c r="G41" s="10"/>
      <c r="H41" s="10"/>
      <c r="I41" s="10"/>
    </row>
  </sheetData>
  <sheetCalcPr fullCalcOnLoad="1"/>
  <mergeCells count="47">
    <mergeCell ref="B1:M1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B6:B7"/>
    <mergeCell ref="C6:E7"/>
    <mergeCell ref="K6:K7"/>
    <mergeCell ref="B8:B9"/>
    <mergeCell ref="C8:E9"/>
    <mergeCell ref="K8:K9"/>
    <mergeCell ref="B12:B13"/>
    <mergeCell ref="C12:E13"/>
    <mergeCell ref="K12:K13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M12:M13"/>
    <mergeCell ref="B17:K17"/>
    <mergeCell ref="H18:J18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opLeftCell="A25" workbookViewId="0">
      <selection activeCell="B38" sqref="B38:I41"/>
    </sheetView>
  </sheetViews>
  <sheetFormatPr defaultRowHeight="15"/>
  <cols>
    <col min="1" max="1" width="4" style="11" customWidth="1"/>
    <col min="2" max="12" width="10.28515625" customWidth="1"/>
    <col min="13" max="13" width="10.28515625" style="20" customWidth="1"/>
    <col min="14" max="15" width="10.28515625" customWidth="1"/>
  </cols>
  <sheetData>
    <row r="1" spans="2:16" ht="59.25" customHeight="1">
      <c r="B1" s="93" t="s">
        <v>35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61"/>
      <c r="O1" s="61"/>
      <c r="P1" s="61"/>
    </row>
    <row r="2" spans="2:16" ht="15.75" thickBot="1">
      <c r="M2"/>
    </row>
    <row r="3" spans="2:16" ht="30" customHeight="1" thickBot="1">
      <c r="B3" s="8"/>
      <c r="C3" s="95" t="s">
        <v>0</v>
      </c>
      <c r="D3" s="96"/>
      <c r="E3" s="97"/>
      <c r="F3" s="1">
        <v>1</v>
      </c>
      <c r="G3" s="1">
        <v>2</v>
      </c>
      <c r="H3" s="1">
        <v>3</v>
      </c>
      <c r="I3" s="2">
        <v>4</v>
      </c>
      <c r="J3" s="2">
        <v>5</v>
      </c>
      <c r="K3" s="8" t="s">
        <v>1</v>
      </c>
      <c r="L3" s="1" t="s">
        <v>3</v>
      </c>
      <c r="M3" s="7" t="s">
        <v>2</v>
      </c>
    </row>
    <row r="4" spans="2:16" ht="24" customHeight="1">
      <c r="B4" s="98">
        <v>1</v>
      </c>
      <c r="C4" s="99" t="s">
        <v>46</v>
      </c>
      <c r="D4" s="100"/>
      <c r="E4" s="101"/>
      <c r="F4" s="35" t="s">
        <v>7</v>
      </c>
      <c r="G4" s="36" t="str">
        <f ca="1">INDIRECT(ADDRESS(23,6))&amp;":"&amp;INDIRECT(ADDRESS(23,7))</f>
        <v>13:4</v>
      </c>
      <c r="H4" s="36" t="str">
        <f ca="1">INDIRECT(ADDRESS(26,7))&amp;":"&amp;INDIRECT(ADDRESS(26,6))</f>
        <v>13:6</v>
      </c>
      <c r="I4" s="36" t="str">
        <f ca="1">INDIRECT(ADDRESS(30,6))&amp;":"&amp;INDIRECT(ADDRESS(30,7))</f>
        <v>10:6</v>
      </c>
      <c r="J4" s="37" t="str">
        <f ca="1">INDIRECT(ADDRESS(35,7))&amp;":"&amp;INDIRECT(ADDRESS(35,6))</f>
        <v>9:12</v>
      </c>
      <c r="K4" s="102">
        <f ca="1">IF(COUNT(F5:J5)=0,"",COUNTIF(F5:J5,"&gt;0")+0.5*COUNTIF(F5:J5,0))</f>
        <v>3</v>
      </c>
      <c r="L4" s="38"/>
      <c r="M4" s="103"/>
    </row>
    <row r="5" spans="2:16" ht="24" customHeight="1">
      <c r="B5" s="88"/>
      <c r="C5" s="89"/>
      <c r="D5" s="90"/>
      <c r="E5" s="91"/>
      <c r="F5" s="39" t="s">
        <v>7</v>
      </c>
      <c r="G5" s="40">
        <f ca="1">IF(LEN(INDIRECT(ADDRESS(ROW()-1, COLUMN())))=1,"",INDIRECT(ADDRESS(23,6))-INDIRECT(ADDRESS(23,7)))</f>
        <v>9</v>
      </c>
      <c r="H5" s="40">
        <f ca="1">IF(LEN(INDIRECT(ADDRESS(ROW()-1, COLUMN())))=1,"",INDIRECT(ADDRESS(26,7))-INDIRECT(ADDRESS(26,6)))</f>
        <v>7</v>
      </c>
      <c r="I5" s="40">
        <f ca="1">IF(LEN(INDIRECT(ADDRESS(ROW()-1, COLUMN())))=1,"",INDIRECT(ADDRESS(30,6))-INDIRECT(ADDRESS(30,7)))</f>
        <v>4</v>
      </c>
      <c r="J5" s="41">
        <f ca="1">IF(LEN(INDIRECT(ADDRESS(ROW()-1, COLUMN())))=1,"",INDIRECT(ADDRESS(35,7))-INDIRECT(ADDRESS(35,6)))</f>
        <v>-3</v>
      </c>
      <c r="K5" s="92"/>
      <c r="L5" s="40">
        <f ca="1">IF(COUNT(F5:J5)=0,"",SUM(F5:J5))</f>
        <v>17</v>
      </c>
      <c r="M5" s="94"/>
    </row>
    <row r="6" spans="2:16" ht="24" customHeight="1">
      <c r="B6" s="87">
        <v>2</v>
      </c>
      <c r="C6" s="89" t="s">
        <v>47</v>
      </c>
      <c r="D6" s="90"/>
      <c r="E6" s="91"/>
      <c r="F6" s="42" t="str">
        <f ca="1">INDIRECT(ADDRESS(23,7))&amp;":"&amp;INDIRECT(ADDRESS(23,6))</f>
        <v>4:13</v>
      </c>
      <c r="G6" s="43" t="s">
        <v>7</v>
      </c>
      <c r="H6" s="44" t="str">
        <f ca="1">INDIRECT(ADDRESS(31,6))&amp;":"&amp;INDIRECT(ADDRESS(31,7))</f>
        <v>13:6</v>
      </c>
      <c r="I6" s="44" t="str">
        <f ca="1">INDIRECT(ADDRESS(34,7))&amp;":"&amp;INDIRECT(ADDRESS(34,6))</f>
        <v>3:13</v>
      </c>
      <c r="J6" s="45" t="str">
        <f ca="1">INDIRECT(ADDRESS(18,6))&amp;":"&amp;INDIRECT(ADDRESS(18,7))</f>
        <v>1:13</v>
      </c>
      <c r="K6" s="92">
        <f ca="1">IF(COUNT(F7:J7)=0,"",COUNTIF(F7:J7,"&gt;0")+0.5*COUNTIF(F7:J7,0))</f>
        <v>1</v>
      </c>
      <c r="L6" s="40"/>
      <c r="M6" s="94"/>
    </row>
    <row r="7" spans="2:16" ht="24" customHeight="1">
      <c r="B7" s="88"/>
      <c r="C7" s="89"/>
      <c r="D7" s="90"/>
      <c r="E7" s="91"/>
      <c r="F7" s="46">
        <f ca="1">IF(LEN(INDIRECT(ADDRESS(ROW()-1, COLUMN())))=1,"",INDIRECT(ADDRESS(23,7))-INDIRECT(ADDRESS(23,6)))</f>
        <v>-9</v>
      </c>
      <c r="G7" s="47" t="s">
        <v>7</v>
      </c>
      <c r="H7" s="40">
        <f ca="1">IF(LEN(INDIRECT(ADDRESS(ROW()-1, COLUMN())))=1,"",INDIRECT(ADDRESS(31,6))-INDIRECT(ADDRESS(31,7)))</f>
        <v>7</v>
      </c>
      <c r="I7" s="40">
        <f ca="1">IF(LEN(INDIRECT(ADDRESS(ROW()-1, COLUMN())))=1,"",INDIRECT(ADDRESS(34,7))-INDIRECT(ADDRESS(34,6)))</f>
        <v>-10</v>
      </c>
      <c r="J7" s="41">
        <f ca="1">IF(LEN(INDIRECT(ADDRESS(ROW()-1, COLUMN())))=1,"",INDIRECT(ADDRESS(18,6))-INDIRECT(ADDRESS(18,7)))</f>
        <v>-12</v>
      </c>
      <c r="K7" s="92"/>
      <c r="L7" s="40">
        <f ca="1">IF(COUNT(F7:J7)=0,"",SUM(F7:J7))</f>
        <v>-24</v>
      </c>
      <c r="M7" s="94"/>
    </row>
    <row r="8" spans="2:16" ht="24" customHeight="1">
      <c r="B8" s="87">
        <v>3</v>
      </c>
      <c r="C8" s="89" t="s">
        <v>48</v>
      </c>
      <c r="D8" s="90"/>
      <c r="E8" s="91"/>
      <c r="F8" s="42" t="str">
        <f ca="1">INDIRECT(ADDRESS(26,6))&amp;":"&amp;INDIRECT(ADDRESS(26,7))</f>
        <v>6:13</v>
      </c>
      <c r="G8" s="44" t="str">
        <f ca="1">INDIRECT(ADDRESS(31,7))&amp;":"&amp;INDIRECT(ADDRESS(31,6))</f>
        <v>6:13</v>
      </c>
      <c r="H8" s="43" t="s">
        <v>7</v>
      </c>
      <c r="I8" s="44" t="str">
        <f ca="1">INDIRECT(ADDRESS(19,6))&amp;":"&amp;INDIRECT(ADDRESS(19,7))</f>
        <v>3:10</v>
      </c>
      <c r="J8" s="45" t="str">
        <f ca="1">INDIRECT(ADDRESS(22,7))&amp;":"&amp;INDIRECT(ADDRESS(22,6))</f>
        <v>3:12</v>
      </c>
      <c r="K8" s="92">
        <f ca="1">IF(COUNT(F9:J9)=0,"",COUNTIF(F9:J9,"&gt;0")+0.5*COUNTIF(F9:J9,0))</f>
        <v>0</v>
      </c>
      <c r="L8" s="40"/>
      <c r="M8" s="94"/>
    </row>
    <row r="9" spans="2:16" ht="24" customHeight="1">
      <c r="B9" s="88"/>
      <c r="C9" s="89"/>
      <c r="D9" s="90"/>
      <c r="E9" s="91"/>
      <c r="F9" s="46">
        <f ca="1">IF(LEN(INDIRECT(ADDRESS(ROW()-1, COLUMN())))=1,"",INDIRECT(ADDRESS(26,6))-INDIRECT(ADDRESS(26,7)))</f>
        <v>-7</v>
      </c>
      <c r="G9" s="40">
        <f ca="1">IF(LEN(INDIRECT(ADDRESS(ROW()-1, COLUMN())))=1,"",INDIRECT(ADDRESS(31,7))-INDIRECT(ADDRESS(31,6)))</f>
        <v>-7</v>
      </c>
      <c r="H9" s="47" t="s">
        <v>7</v>
      </c>
      <c r="I9" s="40">
        <f ca="1">IF(LEN(INDIRECT(ADDRESS(ROW()-1, COLUMN())))=1,"",INDIRECT(ADDRESS(19,6))-INDIRECT(ADDRESS(19,7)))</f>
        <v>-7</v>
      </c>
      <c r="J9" s="41">
        <f ca="1">IF(LEN(INDIRECT(ADDRESS(ROW()-1, COLUMN())))=1,"",INDIRECT(ADDRESS(22,7))-INDIRECT(ADDRESS(22,6)))</f>
        <v>-9</v>
      </c>
      <c r="K9" s="92"/>
      <c r="L9" s="40">
        <f ca="1">IF(COUNT(F9:J9)=0,"",SUM(F9:J9))</f>
        <v>-30</v>
      </c>
      <c r="M9" s="94"/>
    </row>
    <row r="10" spans="2:16" ht="24" customHeight="1">
      <c r="B10" s="87">
        <v>4</v>
      </c>
      <c r="C10" s="89" t="s">
        <v>49</v>
      </c>
      <c r="D10" s="90"/>
      <c r="E10" s="91"/>
      <c r="F10" s="42" t="str">
        <f ca="1">INDIRECT(ADDRESS(30,7))&amp;":"&amp;INDIRECT(ADDRESS(30,6))</f>
        <v>6:10</v>
      </c>
      <c r="G10" s="44" t="str">
        <f ca="1">INDIRECT(ADDRESS(34,6))&amp;":"&amp;INDIRECT(ADDRESS(34,7))</f>
        <v>13:3</v>
      </c>
      <c r="H10" s="44" t="str">
        <f ca="1">INDIRECT(ADDRESS(19,7))&amp;":"&amp;INDIRECT(ADDRESS(19,6))</f>
        <v>10:3</v>
      </c>
      <c r="I10" s="43" t="s">
        <v>7</v>
      </c>
      <c r="J10" s="45" t="str">
        <f ca="1">INDIRECT(ADDRESS(27,6))&amp;":"&amp;INDIRECT(ADDRESS(27,7))</f>
        <v>13:2</v>
      </c>
      <c r="K10" s="92">
        <f ca="1">IF(COUNT(F11:J11)=0,"",COUNTIF(F11:J11,"&gt;0")+0.5*COUNTIF(F11:J11,0))</f>
        <v>3</v>
      </c>
      <c r="L10" s="40"/>
      <c r="M10" s="94"/>
    </row>
    <row r="11" spans="2:16" ht="24" customHeight="1">
      <c r="B11" s="88"/>
      <c r="C11" s="89"/>
      <c r="D11" s="90"/>
      <c r="E11" s="91"/>
      <c r="F11" s="46">
        <f ca="1">IF(LEN(INDIRECT(ADDRESS(ROW()-1, COLUMN())))=1,"",INDIRECT(ADDRESS(30,7))-INDIRECT(ADDRESS(30,6)))</f>
        <v>-4</v>
      </c>
      <c r="G11" s="40">
        <f ca="1">IF(LEN(INDIRECT(ADDRESS(ROW()-1, COLUMN())))=1,"",INDIRECT(ADDRESS(34,6))-INDIRECT(ADDRESS(34,7)))</f>
        <v>10</v>
      </c>
      <c r="H11" s="40">
        <f ca="1">IF(LEN(INDIRECT(ADDRESS(ROW()-1, COLUMN())))=1,"",INDIRECT(ADDRESS(19,7))-INDIRECT(ADDRESS(19,6)))</f>
        <v>7</v>
      </c>
      <c r="I11" s="47" t="s">
        <v>7</v>
      </c>
      <c r="J11" s="41">
        <f ca="1">IF(LEN(INDIRECT(ADDRESS(ROW()-1, COLUMN())))=1,"",INDIRECT(ADDRESS(27,6))-INDIRECT(ADDRESS(27,7)))</f>
        <v>11</v>
      </c>
      <c r="K11" s="92"/>
      <c r="L11" s="40">
        <f ca="1">IF(COUNT(F11:J11)=0,"",SUM(F11:J11))</f>
        <v>24</v>
      </c>
      <c r="M11" s="94"/>
    </row>
    <row r="12" spans="2:16" ht="24" customHeight="1">
      <c r="B12" s="87">
        <v>5</v>
      </c>
      <c r="C12" s="89" t="s">
        <v>50</v>
      </c>
      <c r="D12" s="90"/>
      <c r="E12" s="91"/>
      <c r="F12" s="42" t="str">
        <f ca="1">INDIRECT(ADDRESS(35,6))&amp;":"&amp;INDIRECT(ADDRESS(35,7))</f>
        <v>12:9</v>
      </c>
      <c r="G12" s="44" t="str">
        <f ca="1">INDIRECT(ADDRESS(18,7))&amp;":"&amp;INDIRECT(ADDRESS(18,6))</f>
        <v>13:1</v>
      </c>
      <c r="H12" s="44" t="str">
        <f ca="1">INDIRECT(ADDRESS(22,6))&amp;":"&amp;INDIRECT(ADDRESS(22,7))</f>
        <v>12:3</v>
      </c>
      <c r="I12" s="44" t="str">
        <f ca="1">INDIRECT(ADDRESS(27,7))&amp;":"&amp;INDIRECT(ADDRESS(27,6))</f>
        <v>2:13</v>
      </c>
      <c r="J12" s="48" t="s">
        <v>7</v>
      </c>
      <c r="K12" s="92">
        <f ca="1">IF(COUNT(F13:J13)=0,"",COUNTIF(F13:J13,"&gt;0")+0.5*COUNTIF(F13:J13,0))</f>
        <v>3</v>
      </c>
      <c r="L12" s="40"/>
      <c r="M12" s="94"/>
    </row>
    <row r="13" spans="2:16" ht="24" customHeight="1" thickBot="1">
      <c r="B13" s="106"/>
      <c r="C13" s="107"/>
      <c r="D13" s="108"/>
      <c r="E13" s="109"/>
      <c r="F13" s="49">
        <f ca="1">IF(LEN(INDIRECT(ADDRESS(ROW()-1, COLUMN())))=1,"",INDIRECT(ADDRESS(35,6))-INDIRECT(ADDRESS(35,7)))</f>
        <v>3</v>
      </c>
      <c r="G13" s="50">
        <f ca="1">IF(LEN(INDIRECT(ADDRESS(ROW()-1, COLUMN())))=1,"",INDIRECT(ADDRESS(18,7))-INDIRECT(ADDRESS(18,6)))</f>
        <v>12</v>
      </c>
      <c r="H13" s="50">
        <f ca="1">IF(LEN(INDIRECT(ADDRESS(ROW()-1, COLUMN())))=1,"",INDIRECT(ADDRESS(22,6))-INDIRECT(ADDRESS(22,7)))</f>
        <v>9</v>
      </c>
      <c r="I13" s="50">
        <f ca="1">IF(LEN(INDIRECT(ADDRESS(ROW()-1, COLUMN())))=1,"",INDIRECT(ADDRESS(27,7))-INDIRECT(ADDRESS(27,6)))</f>
        <v>-11</v>
      </c>
      <c r="J13" s="51" t="s">
        <v>7</v>
      </c>
      <c r="K13" s="110"/>
      <c r="L13" s="50">
        <f ca="1">IF(COUNT(F13:J13)=0,"",SUM(F13:J13))</f>
        <v>13</v>
      </c>
      <c r="M13" s="112"/>
    </row>
    <row r="14" spans="2:16">
      <c r="M14"/>
    </row>
    <row r="15" spans="2:16">
      <c r="M15"/>
    </row>
    <row r="16" spans="2:16">
      <c r="M16"/>
    </row>
    <row r="17" spans="1:13" s="53" customFormat="1" ht="30" customHeight="1" thickBot="1">
      <c r="A17" s="52"/>
      <c r="B17" s="113" t="s">
        <v>4</v>
      </c>
      <c r="C17" s="113"/>
      <c r="D17" s="113"/>
      <c r="E17" s="113"/>
      <c r="F17" s="113"/>
      <c r="G17" s="113"/>
      <c r="H17" s="113"/>
      <c r="I17" s="113"/>
      <c r="J17" s="113"/>
      <c r="K17" s="113"/>
      <c r="M17" s="54"/>
    </row>
    <row r="18" spans="1:13" s="53" customFormat="1" ht="30" customHeight="1" thickBot="1">
      <c r="A18" s="52"/>
      <c r="B18" s="55">
        <v>2</v>
      </c>
      <c r="C18" s="105" t="str">
        <f ca="1">IF(ISBLANK(INDIRECT(ADDRESS(B18*2+2,3))),"",INDIRECT(ADDRESS(B18*2+2,3)))</f>
        <v>Валибуз П., Валибуз И.</v>
      </c>
      <c r="D18" s="105"/>
      <c r="E18" s="111"/>
      <c r="F18" s="56">
        <v>1</v>
      </c>
      <c r="G18" s="57">
        <v>13</v>
      </c>
      <c r="H18" s="104" t="str">
        <f ca="1">IF(ISBLANK(INDIRECT(ADDRESS(K18*2+2,3))),"",INDIRECT(ADDRESS(K18*2+2,3)))</f>
        <v>Дегтярёва М., Викторов</v>
      </c>
      <c r="I18" s="105"/>
      <c r="J18" s="105"/>
      <c r="K18" s="55">
        <v>5</v>
      </c>
      <c r="L18" s="58" t="s">
        <v>11</v>
      </c>
      <c r="M18" s="59"/>
    </row>
    <row r="19" spans="1:13" s="53" customFormat="1" ht="30" customHeight="1" thickBot="1">
      <c r="A19" s="52"/>
      <c r="B19" s="55">
        <v>3</v>
      </c>
      <c r="C19" s="105" t="str">
        <f ca="1">IF(ISBLANK(INDIRECT(ADDRESS(B19*2+2,3))),"",INDIRECT(ADDRESS(B19*2+2,3)))</f>
        <v>Мироненко, Клименко</v>
      </c>
      <c r="D19" s="105"/>
      <c r="E19" s="111"/>
      <c r="F19" s="56">
        <v>3</v>
      </c>
      <c r="G19" s="57">
        <v>10</v>
      </c>
      <c r="H19" s="104" t="str">
        <f ca="1">IF(ISBLANK(INDIRECT(ADDRESS(K19*2+2,3))),"",INDIRECT(ADDRESS(K19*2+2,3)))</f>
        <v>Акулова, Чугунов</v>
      </c>
      <c r="I19" s="105"/>
      <c r="J19" s="105"/>
      <c r="K19" s="55">
        <v>4</v>
      </c>
      <c r="L19" s="58" t="s">
        <v>11</v>
      </c>
      <c r="M19" s="59"/>
    </row>
    <row r="20" spans="1:13" s="53" customFormat="1" ht="30" customHeight="1">
      <c r="A20" s="52"/>
      <c r="M20" s="60"/>
    </row>
    <row r="21" spans="1:13" s="53" customFormat="1" ht="30" customHeight="1" thickBot="1">
      <c r="A21" s="52"/>
      <c r="B21" s="113" t="s">
        <v>5</v>
      </c>
      <c r="C21" s="113"/>
      <c r="D21" s="113"/>
      <c r="E21" s="113"/>
      <c r="F21" s="113"/>
      <c r="G21" s="113"/>
      <c r="H21" s="113"/>
      <c r="I21" s="113"/>
      <c r="J21" s="113"/>
      <c r="K21" s="113"/>
      <c r="M21" s="60"/>
    </row>
    <row r="22" spans="1:13" s="53" customFormat="1" ht="30" customHeight="1" thickBot="1">
      <c r="A22" s="52"/>
      <c r="B22" s="55">
        <v>5</v>
      </c>
      <c r="C22" s="105" t="str">
        <f ca="1">IF(ISBLANK(INDIRECT(ADDRESS(B22*2+2,3))),"",INDIRECT(ADDRESS(B22*2+2,3)))</f>
        <v>Дегтярёва М., Викторов</v>
      </c>
      <c r="D22" s="105"/>
      <c r="E22" s="111"/>
      <c r="F22" s="56">
        <v>12</v>
      </c>
      <c r="G22" s="57">
        <v>3</v>
      </c>
      <c r="H22" s="104" t="str">
        <f ca="1">IF(ISBLANK(INDIRECT(ADDRESS(K22*2+2,3))),"",INDIRECT(ADDRESS(K22*2+2,3)))</f>
        <v>Мироненко, Клименко</v>
      </c>
      <c r="I22" s="105"/>
      <c r="J22" s="105"/>
      <c r="K22" s="55">
        <v>3</v>
      </c>
      <c r="L22" s="58" t="s">
        <v>11</v>
      </c>
      <c r="M22" s="59"/>
    </row>
    <row r="23" spans="1:13" s="53" customFormat="1" ht="30" customHeight="1" thickBot="1">
      <c r="A23" s="52"/>
      <c r="B23" s="55">
        <v>1</v>
      </c>
      <c r="C23" s="105" t="str">
        <f ca="1">IF(ISBLANK(INDIRECT(ADDRESS(B23*2+2,3))),"",INDIRECT(ADDRESS(B23*2+2,3)))</f>
        <v>Костяная, Помазан</v>
      </c>
      <c r="D23" s="105"/>
      <c r="E23" s="111"/>
      <c r="F23" s="56">
        <v>13</v>
      </c>
      <c r="G23" s="57">
        <v>4</v>
      </c>
      <c r="H23" s="104" t="str">
        <f ca="1">IF(ISBLANK(INDIRECT(ADDRESS(K23*2+2,3))),"",INDIRECT(ADDRESS(K23*2+2,3)))</f>
        <v>Валибуз П., Валибуз И.</v>
      </c>
      <c r="I23" s="105"/>
      <c r="J23" s="105"/>
      <c r="K23" s="55">
        <v>2</v>
      </c>
      <c r="L23" s="58" t="s">
        <v>11</v>
      </c>
      <c r="M23" s="59"/>
    </row>
    <row r="24" spans="1:13" s="53" customFormat="1" ht="30" customHeight="1">
      <c r="A24" s="52"/>
      <c r="M24" s="60"/>
    </row>
    <row r="25" spans="1:13" s="53" customFormat="1" ht="30" customHeight="1" thickBot="1">
      <c r="A25" s="52"/>
      <c r="B25" s="113" t="s">
        <v>6</v>
      </c>
      <c r="C25" s="113"/>
      <c r="D25" s="113"/>
      <c r="E25" s="113"/>
      <c r="F25" s="113"/>
      <c r="G25" s="113"/>
      <c r="H25" s="113"/>
      <c r="I25" s="113"/>
      <c r="J25" s="113"/>
      <c r="K25" s="113"/>
      <c r="M25" s="60"/>
    </row>
    <row r="26" spans="1:13" s="53" customFormat="1" ht="30" customHeight="1" thickBot="1">
      <c r="A26" s="52"/>
      <c r="B26" s="55">
        <v>3</v>
      </c>
      <c r="C26" s="105" t="str">
        <f ca="1">IF(ISBLANK(INDIRECT(ADDRESS(B26*2+2,3))),"",INDIRECT(ADDRESS(B26*2+2,3)))</f>
        <v>Мироненко, Клименко</v>
      </c>
      <c r="D26" s="105"/>
      <c r="E26" s="111"/>
      <c r="F26" s="56">
        <v>6</v>
      </c>
      <c r="G26" s="57">
        <v>13</v>
      </c>
      <c r="H26" s="104" t="str">
        <f ca="1">IF(ISBLANK(INDIRECT(ADDRESS(K26*2+2,3))),"",INDIRECT(ADDRESS(K26*2+2,3)))</f>
        <v>Костяная, Помазан</v>
      </c>
      <c r="I26" s="105"/>
      <c r="J26" s="105"/>
      <c r="K26" s="55">
        <v>1</v>
      </c>
      <c r="L26" s="58" t="s">
        <v>11</v>
      </c>
      <c r="M26" s="59"/>
    </row>
    <row r="27" spans="1:13" s="53" customFormat="1" ht="30" customHeight="1" thickBot="1">
      <c r="A27" s="52"/>
      <c r="B27" s="55">
        <v>4</v>
      </c>
      <c r="C27" s="105" t="str">
        <f ca="1">IF(ISBLANK(INDIRECT(ADDRESS(B27*2+2,3))),"",INDIRECT(ADDRESS(B27*2+2,3)))</f>
        <v>Акулова, Чугунов</v>
      </c>
      <c r="D27" s="105"/>
      <c r="E27" s="111"/>
      <c r="F27" s="56">
        <v>13</v>
      </c>
      <c r="G27" s="57">
        <v>2</v>
      </c>
      <c r="H27" s="104" t="str">
        <f ca="1">IF(ISBLANK(INDIRECT(ADDRESS(K27*2+2,3))),"",INDIRECT(ADDRESS(K27*2+2,3)))</f>
        <v>Дегтярёва М., Викторов</v>
      </c>
      <c r="I27" s="105"/>
      <c r="J27" s="105"/>
      <c r="K27" s="55">
        <v>5</v>
      </c>
      <c r="L27" s="58" t="s">
        <v>11</v>
      </c>
      <c r="M27" s="59"/>
    </row>
    <row r="28" spans="1:13" s="53" customFormat="1" ht="30" customHeight="1">
      <c r="A28" s="52"/>
      <c r="M28" s="60"/>
    </row>
    <row r="29" spans="1:13" s="53" customFormat="1" ht="30" customHeight="1" thickBot="1">
      <c r="A29" s="52"/>
      <c r="B29" s="113" t="s">
        <v>8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0"/>
    </row>
    <row r="30" spans="1:13" s="53" customFormat="1" ht="30" customHeight="1" thickBot="1">
      <c r="A30" s="52"/>
      <c r="B30" s="55">
        <v>1</v>
      </c>
      <c r="C30" s="105" t="str">
        <f ca="1">IF(ISBLANK(INDIRECT(ADDRESS(B30*2+2,3))),"",INDIRECT(ADDRESS(B30*2+2,3)))</f>
        <v>Костяная, Помазан</v>
      </c>
      <c r="D30" s="105"/>
      <c r="E30" s="111"/>
      <c r="F30" s="56">
        <v>10</v>
      </c>
      <c r="G30" s="57">
        <v>6</v>
      </c>
      <c r="H30" s="104" t="str">
        <f ca="1">IF(ISBLANK(INDIRECT(ADDRESS(K30*2+2,3))),"",INDIRECT(ADDRESS(K30*2+2,3)))</f>
        <v>Акулова, Чугунов</v>
      </c>
      <c r="I30" s="105"/>
      <c r="J30" s="105"/>
      <c r="K30" s="55">
        <v>4</v>
      </c>
      <c r="L30" s="58" t="s">
        <v>11</v>
      </c>
      <c r="M30" s="59"/>
    </row>
    <row r="31" spans="1:13" s="53" customFormat="1" ht="30" customHeight="1" thickBot="1">
      <c r="A31" s="52"/>
      <c r="B31" s="55">
        <v>2</v>
      </c>
      <c r="C31" s="105" t="str">
        <f ca="1">IF(ISBLANK(INDIRECT(ADDRESS(B31*2+2,3))),"",INDIRECT(ADDRESS(B31*2+2,3)))</f>
        <v>Валибуз П., Валибуз И.</v>
      </c>
      <c r="D31" s="105"/>
      <c r="E31" s="111"/>
      <c r="F31" s="56">
        <v>13</v>
      </c>
      <c r="G31" s="57">
        <v>6</v>
      </c>
      <c r="H31" s="104" t="str">
        <f ca="1">IF(ISBLANK(INDIRECT(ADDRESS(K31*2+2,3))),"",INDIRECT(ADDRESS(K31*2+2,3)))</f>
        <v>Мироненко, Клименко</v>
      </c>
      <c r="I31" s="105"/>
      <c r="J31" s="105"/>
      <c r="K31" s="55">
        <v>3</v>
      </c>
      <c r="L31" s="58" t="s">
        <v>11</v>
      </c>
      <c r="M31" s="59"/>
    </row>
    <row r="32" spans="1:13" s="53" customFormat="1" ht="30" customHeight="1">
      <c r="A32" s="52"/>
      <c r="M32" s="60"/>
    </row>
    <row r="33" spans="1:13" s="53" customFormat="1" ht="30" customHeight="1" thickBot="1">
      <c r="A33" s="52"/>
      <c r="B33" s="113" t="s">
        <v>9</v>
      </c>
      <c r="C33" s="113"/>
      <c r="D33" s="113"/>
      <c r="E33" s="113"/>
      <c r="F33" s="113"/>
      <c r="G33" s="113"/>
      <c r="H33" s="113"/>
      <c r="I33" s="113"/>
      <c r="J33" s="113"/>
      <c r="K33" s="113"/>
      <c r="M33" s="60"/>
    </row>
    <row r="34" spans="1:13" s="53" customFormat="1" ht="30" customHeight="1" thickBot="1">
      <c r="A34" s="52"/>
      <c r="B34" s="55">
        <v>4</v>
      </c>
      <c r="C34" s="105" t="str">
        <f ca="1">IF(ISBLANK(INDIRECT(ADDRESS(B34*2+2,3))),"",INDIRECT(ADDRESS(B34*2+2,3)))</f>
        <v>Акулова, Чугунов</v>
      </c>
      <c r="D34" s="105"/>
      <c r="E34" s="111"/>
      <c r="F34" s="56">
        <v>13</v>
      </c>
      <c r="G34" s="57">
        <v>3</v>
      </c>
      <c r="H34" s="104" t="str">
        <f ca="1">IF(ISBLANK(INDIRECT(ADDRESS(K34*2+2,3))),"",INDIRECT(ADDRESS(K34*2+2,3)))</f>
        <v>Валибуз П., Валибуз И.</v>
      </c>
      <c r="I34" s="105"/>
      <c r="J34" s="105"/>
      <c r="K34" s="55">
        <v>2</v>
      </c>
      <c r="L34" s="58" t="s">
        <v>11</v>
      </c>
      <c r="M34" s="59"/>
    </row>
    <row r="35" spans="1:13" s="53" customFormat="1" ht="30" customHeight="1" thickBot="1">
      <c r="A35" s="52"/>
      <c r="B35" s="55">
        <v>5</v>
      </c>
      <c r="C35" s="105" t="str">
        <f ca="1">IF(ISBLANK(INDIRECT(ADDRESS(B35*2+2,3))),"",INDIRECT(ADDRESS(B35*2+2,3)))</f>
        <v>Дегтярёва М., Викторов</v>
      </c>
      <c r="D35" s="105"/>
      <c r="E35" s="111"/>
      <c r="F35" s="56">
        <v>12</v>
      </c>
      <c r="G35" s="57">
        <v>9</v>
      </c>
      <c r="H35" s="104" t="str">
        <f ca="1">IF(ISBLANK(INDIRECT(ADDRESS(K35*2+2,3))),"",INDIRECT(ADDRESS(K35*2+2,3)))</f>
        <v>Костяная, Помазан</v>
      </c>
      <c r="I35" s="105"/>
      <c r="J35" s="105"/>
      <c r="K35" s="55">
        <v>1</v>
      </c>
      <c r="L35" s="58" t="s">
        <v>11</v>
      </c>
      <c r="M35" s="59"/>
    </row>
    <row r="38" spans="1:13" ht="21">
      <c r="B38" s="11"/>
      <c r="C38" s="31" t="s">
        <v>23</v>
      </c>
      <c r="D38" s="31"/>
      <c r="E38" s="31"/>
      <c r="F38" s="10"/>
      <c r="G38" s="10"/>
      <c r="H38" s="10"/>
      <c r="I38" s="10"/>
    </row>
    <row r="39" spans="1:13" ht="21">
      <c r="B39" s="11"/>
      <c r="C39" s="31"/>
      <c r="D39" s="31"/>
      <c r="E39" s="31"/>
      <c r="F39" s="10"/>
      <c r="G39" s="10"/>
      <c r="H39" s="10"/>
      <c r="I39" s="10"/>
    </row>
    <row r="40" spans="1:13" ht="21">
      <c r="B40" s="11"/>
      <c r="C40" s="31"/>
      <c r="D40" s="31"/>
      <c r="E40" s="31"/>
      <c r="F40" s="10"/>
      <c r="G40" s="10"/>
      <c r="H40" s="10"/>
      <c r="I40" s="10"/>
    </row>
    <row r="41" spans="1:13" ht="21">
      <c r="B41" s="11"/>
      <c r="C41" s="31" t="s">
        <v>106</v>
      </c>
      <c r="D41" s="31"/>
      <c r="E41" s="31"/>
      <c r="F41" s="10"/>
      <c r="G41" s="10"/>
      <c r="H41" s="10"/>
      <c r="I41" s="10"/>
    </row>
  </sheetData>
  <sheetCalcPr fullCalcOnLoad="1"/>
  <mergeCells count="47">
    <mergeCell ref="B1:M1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B6:B7"/>
    <mergeCell ref="C6:E7"/>
    <mergeCell ref="K6:K7"/>
    <mergeCell ref="B8:B9"/>
    <mergeCell ref="C8:E9"/>
    <mergeCell ref="K8:K9"/>
    <mergeCell ref="B12:B13"/>
    <mergeCell ref="C12:E13"/>
    <mergeCell ref="K12:K13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M12:M13"/>
    <mergeCell ref="B17:K17"/>
    <mergeCell ref="H18:J18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H42" sqref="H42"/>
    </sheetView>
  </sheetViews>
  <sheetFormatPr defaultRowHeight="15" customHeight="1"/>
  <cols>
    <col min="1" max="1" width="9.140625" style="11"/>
    <col min="2" max="16384" width="9.140625" style="10"/>
  </cols>
  <sheetData>
    <row r="1" spans="2:16" ht="59.25" customHeight="1">
      <c r="B1" s="93" t="s">
        <v>85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2:16" ht="15" customHeight="1">
      <c r="C2" s="18"/>
    </row>
    <row r="3" spans="2:16" ht="15" customHeight="1">
      <c r="C3" s="18"/>
    </row>
    <row r="4" spans="2:16" ht="15" customHeight="1">
      <c r="B4" s="116" t="s">
        <v>16</v>
      </c>
      <c r="C4" s="117"/>
      <c r="D4" s="9">
        <v>4</v>
      </c>
      <c r="E4" s="12"/>
    </row>
    <row r="5" spans="2:16" ht="15" customHeight="1">
      <c r="C5" s="18"/>
      <c r="E5" s="13"/>
    </row>
    <row r="6" spans="2:16" ht="15" customHeight="1">
      <c r="B6" s="17" t="s">
        <v>25</v>
      </c>
      <c r="C6" s="18"/>
      <c r="E6" s="14"/>
      <c r="F6" s="118" t="str">
        <f>IF(ISBLANK(D4),"",IF(D4&gt;D8,B4,B8))</f>
        <v>Костяная</v>
      </c>
      <c r="G6" s="117"/>
      <c r="H6" s="9">
        <v>5</v>
      </c>
      <c r="I6" s="12"/>
    </row>
    <row r="7" spans="2:16" ht="15" customHeight="1">
      <c r="C7" s="18"/>
      <c r="E7" s="14"/>
      <c r="I7" s="13"/>
    </row>
    <row r="8" spans="2:16" ht="15" customHeight="1">
      <c r="B8" s="116" t="s">
        <v>88</v>
      </c>
      <c r="C8" s="117"/>
      <c r="D8" s="9">
        <v>7</v>
      </c>
      <c r="E8" s="15"/>
      <c r="I8" s="14"/>
    </row>
    <row r="9" spans="2:16" ht="15" customHeight="1">
      <c r="C9" s="18"/>
      <c r="I9" s="14"/>
    </row>
    <row r="10" spans="2:16" ht="15" customHeight="1">
      <c r="C10" s="18"/>
      <c r="G10" s="17" t="s">
        <v>27</v>
      </c>
      <c r="H10" s="18"/>
      <c r="I10" s="14"/>
      <c r="J10" s="114" t="str">
        <f>IF(ISBLANK(H6),"",IF(H6&gt;H14,F6,F14))</f>
        <v>Акулова</v>
      </c>
      <c r="K10" s="115"/>
      <c r="L10" s="21"/>
      <c r="M10" s="16"/>
    </row>
    <row r="11" spans="2:16" ht="15" customHeight="1">
      <c r="C11" s="18"/>
      <c r="I11" s="14"/>
      <c r="M11" s="16"/>
    </row>
    <row r="12" spans="2:16" ht="15" customHeight="1">
      <c r="B12" s="116" t="s">
        <v>89</v>
      </c>
      <c r="C12" s="117"/>
      <c r="D12" s="9">
        <v>13</v>
      </c>
      <c r="E12" s="12"/>
      <c r="I12" s="14"/>
      <c r="M12" s="16"/>
    </row>
    <row r="13" spans="2:16" ht="15" customHeight="1">
      <c r="C13" s="18"/>
      <c r="E13" s="13"/>
      <c r="I13" s="14"/>
      <c r="M13" s="16"/>
    </row>
    <row r="14" spans="2:16" ht="15" customHeight="1">
      <c r="B14" s="17" t="s">
        <v>26</v>
      </c>
      <c r="C14" s="18"/>
      <c r="E14" s="14"/>
      <c r="F14" s="118" t="str">
        <f>IF(ISBLANK(D12),"",IF(D12&gt;D16,B12,B16))</f>
        <v>Акулова</v>
      </c>
      <c r="G14" s="117"/>
      <c r="H14" s="9">
        <v>13</v>
      </c>
      <c r="I14" s="15"/>
      <c r="M14" s="16"/>
    </row>
    <row r="15" spans="2:16" ht="15" customHeight="1">
      <c r="E15" s="14"/>
      <c r="M15" s="16"/>
    </row>
    <row r="16" spans="2:16" ht="15" customHeight="1">
      <c r="B16" s="116" t="s">
        <v>90</v>
      </c>
      <c r="C16" s="117"/>
      <c r="D16" s="9">
        <v>8</v>
      </c>
      <c r="E16" s="15"/>
      <c r="M16" s="16"/>
    </row>
    <row r="17" spans="2:13" ht="15" customHeight="1">
      <c r="M17" s="16"/>
    </row>
    <row r="20" spans="2:13" ht="15" customHeight="1">
      <c r="B20" s="116" t="str">
        <f>IF(ISBLANK(D4),"",IF(D4&gt;D8,B8,B4))</f>
        <v>Семченкова</v>
      </c>
      <c r="C20" s="117"/>
      <c r="D20" s="9">
        <v>13</v>
      </c>
      <c r="E20" s="12"/>
      <c r="F20" s="119"/>
      <c r="G20" s="119"/>
    </row>
    <row r="21" spans="2:13" ht="15" customHeight="1">
      <c r="E21" s="13"/>
    </row>
    <row r="22" spans="2:13" ht="15" customHeight="1">
      <c r="C22" s="17" t="s">
        <v>28</v>
      </c>
      <c r="E22" s="14"/>
      <c r="F22" s="118" t="str">
        <f>IF(ISBLANK(D20),"",IF(D20&gt;D24,B20,B24))</f>
        <v>Семченкова</v>
      </c>
      <c r="G22" s="116"/>
    </row>
    <row r="23" spans="2:13" ht="15" customHeight="1">
      <c r="E23" s="14"/>
    </row>
    <row r="24" spans="2:13" ht="15" customHeight="1">
      <c r="B24" s="116" t="str">
        <f>IF(ISBLANK(D12),"",IF(D12&gt;D16,B16,B12))</f>
        <v>Мыльцева</v>
      </c>
      <c r="C24" s="117"/>
      <c r="D24" s="9">
        <v>8</v>
      </c>
      <c r="E24" s="15"/>
    </row>
    <row r="27" spans="2:13" ht="15.75" customHeight="1">
      <c r="B27" s="31" t="s">
        <v>23</v>
      </c>
      <c r="C27" s="31"/>
      <c r="D27" s="31"/>
    </row>
    <row r="28" spans="2:13" ht="15" customHeight="1">
      <c r="B28" s="31"/>
      <c r="C28" s="31"/>
      <c r="D28" s="31"/>
    </row>
    <row r="29" spans="2:13" ht="15" customHeight="1">
      <c r="B29" s="31"/>
      <c r="C29" s="31"/>
      <c r="D29" s="31"/>
    </row>
    <row r="30" spans="2:13" ht="15" customHeight="1">
      <c r="B30" s="31" t="s">
        <v>106</v>
      </c>
      <c r="C30" s="31"/>
      <c r="D30" s="31"/>
    </row>
  </sheetData>
  <mergeCells count="12">
    <mergeCell ref="B16:C16"/>
    <mergeCell ref="F22:G22"/>
    <mergeCell ref="B1:P1"/>
    <mergeCell ref="J10:K10"/>
    <mergeCell ref="B4:C4"/>
    <mergeCell ref="F6:G6"/>
    <mergeCell ref="B8:C8"/>
    <mergeCell ref="B24:C24"/>
    <mergeCell ref="B20:C20"/>
    <mergeCell ref="F20:G20"/>
    <mergeCell ref="B12:C12"/>
    <mergeCell ref="F14:G1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A27" sqref="A27:H30"/>
    </sheetView>
  </sheetViews>
  <sheetFormatPr defaultRowHeight="15" customHeight="1"/>
  <cols>
    <col min="1" max="1" width="9.140625" style="11"/>
    <col min="2" max="16384" width="9.140625" style="10"/>
  </cols>
  <sheetData>
    <row r="1" spans="2:16" ht="59.25" customHeight="1">
      <c r="B1" s="93" t="s">
        <v>86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2:16" ht="15" customHeight="1">
      <c r="C2" s="18"/>
    </row>
    <row r="3" spans="2:16" ht="15" customHeight="1">
      <c r="C3" s="18"/>
    </row>
    <row r="4" spans="2:16" ht="15" customHeight="1">
      <c r="B4" s="116" t="s">
        <v>91</v>
      </c>
      <c r="C4" s="117"/>
      <c r="D4" s="9">
        <v>13</v>
      </c>
      <c r="E4" s="12"/>
    </row>
    <row r="5" spans="2:16" ht="15" customHeight="1">
      <c r="C5" s="18"/>
      <c r="E5" s="13"/>
    </row>
    <row r="6" spans="2:16" ht="15" customHeight="1">
      <c r="B6" s="17" t="s">
        <v>29</v>
      </c>
      <c r="C6" s="18"/>
      <c r="E6" s="14"/>
      <c r="F6" s="118" t="str">
        <f>IF(ISBLANK(D4),"",IF(D4&gt;D8,B4,B8))</f>
        <v>Фёдорова А.</v>
      </c>
      <c r="G6" s="117"/>
      <c r="H6" s="9">
        <v>11</v>
      </c>
      <c r="I6" s="12"/>
    </row>
    <row r="7" spans="2:16" ht="15" customHeight="1">
      <c r="C7" s="18"/>
      <c r="E7" s="14"/>
      <c r="I7" s="13"/>
    </row>
    <row r="8" spans="2:16" ht="15" customHeight="1">
      <c r="B8" s="116" t="s">
        <v>92</v>
      </c>
      <c r="C8" s="117"/>
      <c r="D8" s="9">
        <v>10</v>
      </c>
      <c r="E8" s="15"/>
      <c r="I8" s="14"/>
    </row>
    <row r="9" spans="2:16" ht="15" customHeight="1">
      <c r="C9" s="18"/>
      <c r="I9" s="14"/>
    </row>
    <row r="10" spans="2:16" ht="15" customHeight="1">
      <c r="C10" s="18"/>
      <c r="G10" s="17" t="s">
        <v>31</v>
      </c>
      <c r="H10" s="18"/>
      <c r="I10" s="14"/>
      <c r="J10" s="118" t="str">
        <f>IF(ISBLANK(H6),"",IF(H6&gt;H14,F6,F14))</f>
        <v>Фёдорова А.</v>
      </c>
      <c r="K10" s="116"/>
      <c r="L10" s="21"/>
      <c r="M10" s="16"/>
    </row>
    <row r="11" spans="2:16" ht="15" customHeight="1">
      <c r="C11" s="18"/>
      <c r="I11" s="14"/>
      <c r="M11" s="16"/>
    </row>
    <row r="12" spans="2:16" ht="15" customHeight="1">
      <c r="B12" s="116" t="s">
        <v>93</v>
      </c>
      <c r="C12" s="117"/>
      <c r="D12" s="9">
        <v>4</v>
      </c>
      <c r="E12" s="12"/>
      <c r="I12" s="14"/>
      <c r="M12" s="16"/>
    </row>
    <row r="13" spans="2:16" ht="15" customHeight="1">
      <c r="C13" s="18"/>
      <c r="E13" s="13"/>
      <c r="I13" s="14"/>
      <c r="M13" s="16"/>
    </row>
    <row r="14" spans="2:16" ht="15" customHeight="1">
      <c r="B14" s="17" t="s">
        <v>30</v>
      </c>
      <c r="C14" s="18"/>
      <c r="E14" s="14"/>
      <c r="F14" s="118" t="str">
        <f>IF(ISBLANK(D12),"",IF(D12&gt;D16,B12,B16))</f>
        <v>Дегтярёва М.</v>
      </c>
      <c r="G14" s="117"/>
      <c r="H14" s="9">
        <v>9</v>
      </c>
      <c r="I14" s="15"/>
      <c r="M14" s="16"/>
    </row>
    <row r="15" spans="2:16" ht="15" customHeight="1">
      <c r="E15" s="14"/>
      <c r="M15" s="16"/>
    </row>
    <row r="16" spans="2:16" ht="15" customHeight="1">
      <c r="B16" s="116" t="s">
        <v>94</v>
      </c>
      <c r="C16" s="117"/>
      <c r="D16" s="9">
        <v>13</v>
      </c>
      <c r="E16" s="15"/>
      <c r="M16" s="16"/>
    </row>
    <row r="17" spans="2:13" ht="15" customHeight="1">
      <c r="M17" s="16"/>
    </row>
    <row r="20" spans="2:13" ht="15" customHeight="1">
      <c r="B20" s="116" t="str">
        <f>IF(ISBLANK(D4),"",IF(D4&gt;D8,B8,B4))</f>
        <v>Фёдорова Л.</v>
      </c>
      <c r="C20" s="117"/>
      <c r="D20" s="9">
        <v>9</v>
      </c>
      <c r="E20" s="12"/>
      <c r="F20" s="119"/>
      <c r="G20" s="119"/>
    </row>
    <row r="21" spans="2:13" ht="15" customHeight="1">
      <c r="E21" s="13"/>
    </row>
    <row r="22" spans="2:13" ht="15" customHeight="1">
      <c r="C22" s="17" t="s">
        <v>32</v>
      </c>
      <c r="E22" s="14"/>
      <c r="F22" s="118" t="str">
        <f>IF(ISBLANK(D20),"",IF(D20&gt;D24,B20,B24))</f>
        <v>Помазан Л.</v>
      </c>
      <c r="G22" s="116"/>
    </row>
    <row r="23" spans="2:13" ht="15" customHeight="1">
      <c r="E23" s="14"/>
    </row>
    <row r="24" spans="2:13" ht="15" customHeight="1">
      <c r="B24" s="116" t="str">
        <f>IF(ISBLANK(D12),"",IF(D12&gt;D16,B16,B12))</f>
        <v>Помазан Л.</v>
      </c>
      <c r="C24" s="117"/>
      <c r="D24" s="9">
        <v>13</v>
      </c>
      <c r="E24" s="15"/>
    </row>
    <row r="27" spans="2:13" ht="17.25" customHeight="1">
      <c r="B27" s="31" t="s">
        <v>23</v>
      </c>
      <c r="C27" s="31"/>
      <c r="D27" s="31"/>
    </row>
    <row r="28" spans="2:13" ht="15" customHeight="1">
      <c r="B28" s="31"/>
      <c r="C28" s="31"/>
      <c r="D28" s="31"/>
    </row>
    <row r="29" spans="2:13" ht="15" customHeight="1">
      <c r="B29" s="31"/>
      <c r="C29" s="31"/>
      <c r="D29" s="31"/>
    </row>
    <row r="30" spans="2:13" ht="15" customHeight="1">
      <c r="B30" s="31" t="s">
        <v>106</v>
      </c>
      <c r="C30" s="31"/>
      <c r="D30" s="31"/>
    </row>
  </sheetData>
  <mergeCells count="12">
    <mergeCell ref="B24:C24"/>
    <mergeCell ref="B20:C20"/>
    <mergeCell ref="F20:G20"/>
    <mergeCell ref="B16:C16"/>
    <mergeCell ref="B1:P1"/>
    <mergeCell ref="J10:K10"/>
    <mergeCell ref="F22:G22"/>
    <mergeCell ref="B4:C4"/>
    <mergeCell ref="B12:C12"/>
    <mergeCell ref="F14:G14"/>
    <mergeCell ref="F6:G6"/>
    <mergeCell ref="B8:C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A27" sqref="A27:H30"/>
    </sheetView>
  </sheetViews>
  <sheetFormatPr defaultRowHeight="15" customHeight="1"/>
  <cols>
    <col min="1" max="1" width="9.140625" style="11"/>
    <col min="2" max="16384" width="9.140625" style="10"/>
  </cols>
  <sheetData>
    <row r="1" spans="2:16" ht="59.25" customHeight="1">
      <c r="B1" s="93" t="s">
        <v>87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2:16" ht="15" customHeight="1">
      <c r="C2" s="18"/>
    </row>
    <row r="3" spans="2:16" ht="15" customHeight="1">
      <c r="C3" s="18"/>
    </row>
    <row r="4" spans="2:16" ht="15" customHeight="1">
      <c r="B4" s="116" t="s">
        <v>95</v>
      </c>
      <c r="C4" s="117"/>
      <c r="D4" s="9">
        <v>2</v>
      </c>
      <c r="E4" s="12"/>
    </row>
    <row r="5" spans="2:16" ht="15" customHeight="1">
      <c r="C5" s="18"/>
      <c r="E5" s="13"/>
    </row>
    <row r="6" spans="2:16" ht="15" customHeight="1">
      <c r="B6" s="17" t="s">
        <v>31</v>
      </c>
      <c r="C6" s="18"/>
      <c r="E6" s="14"/>
      <c r="F6" s="118" t="str">
        <f>IF(ISBLANK(D4),"",IF(D4&gt;D8,B4,B8))</f>
        <v>Валибуз</v>
      </c>
      <c r="G6" s="117"/>
      <c r="H6" s="9">
        <v>8</v>
      </c>
      <c r="I6" s="12"/>
    </row>
    <row r="7" spans="2:16" ht="15" customHeight="1">
      <c r="C7" s="18"/>
      <c r="E7" s="14"/>
      <c r="I7" s="13"/>
    </row>
    <row r="8" spans="2:16" ht="15" customHeight="1">
      <c r="B8" s="116" t="s">
        <v>96</v>
      </c>
      <c r="C8" s="117"/>
      <c r="D8" s="9">
        <v>11</v>
      </c>
      <c r="E8" s="15"/>
      <c r="I8" s="14"/>
    </row>
    <row r="9" spans="2:16" ht="15" customHeight="1">
      <c r="C9" s="18"/>
      <c r="I9" s="14"/>
    </row>
    <row r="10" spans="2:16" ht="15" customHeight="1">
      <c r="C10" s="18"/>
      <c r="G10" s="17" t="s">
        <v>25</v>
      </c>
      <c r="H10" s="18"/>
      <c r="I10" s="14"/>
      <c r="J10" s="118" t="str">
        <f>IF(ISBLANK(H6),"",IF(H6&gt;H14,F6,F14))</f>
        <v>Шапка</v>
      </c>
      <c r="K10" s="116"/>
      <c r="L10" s="21"/>
      <c r="M10" s="16"/>
    </row>
    <row r="11" spans="2:16" ht="15" customHeight="1">
      <c r="C11" s="18"/>
      <c r="I11" s="14"/>
      <c r="M11" s="16"/>
    </row>
    <row r="12" spans="2:16" ht="15" customHeight="1">
      <c r="B12" s="116" t="s">
        <v>97</v>
      </c>
      <c r="C12" s="117"/>
      <c r="D12" s="9">
        <v>11</v>
      </c>
      <c r="E12" s="12"/>
      <c r="I12" s="14"/>
      <c r="M12" s="16"/>
    </row>
    <row r="13" spans="2:16" ht="15" customHeight="1">
      <c r="C13" s="18"/>
      <c r="E13" s="13"/>
      <c r="I13" s="14"/>
      <c r="M13" s="16"/>
    </row>
    <row r="14" spans="2:16" ht="15" customHeight="1">
      <c r="B14" s="17" t="s">
        <v>32</v>
      </c>
      <c r="C14" s="18"/>
      <c r="E14" s="14"/>
      <c r="F14" s="118" t="str">
        <f>IF(ISBLANK(D12),"",IF(D12&gt;D16,B12,B16))</f>
        <v>Шапка</v>
      </c>
      <c r="G14" s="117"/>
      <c r="H14" s="9">
        <v>13</v>
      </c>
      <c r="I14" s="15"/>
      <c r="M14" s="16"/>
    </row>
    <row r="15" spans="2:16" ht="15" customHeight="1">
      <c r="E15" s="14"/>
      <c r="M15" s="16"/>
    </row>
    <row r="16" spans="2:16" ht="15" customHeight="1">
      <c r="B16" s="116" t="s">
        <v>98</v>
      </c>
      <c r="C16" s="117"/>
      <c r="D16" s="9">
        <v>9</v>
      </c>
      <c r="E16" s="15"/>
      <c r="M16" s="16"/>
    </row>
    <row r="17" spans="2:13" ht="15" customHeight="1">
      <c r="M17" s="16"/>
    </row>
    <row r="20" spans="2:13" ht="15" customHeight="1">
      <c r="B20" s="116" t="str">
        <f>IF(ISBLANK(D4),"",IF(D4&gt;D8,B8,B4))</f>
        <v>Балашова</v>
      </c>
      <c r="C20" s="117"/>
      <c r="D20" s="9">
        <v>8</v>
      </c>
      <c r="E20" s="12"/>
      <c r="F20" s="119"/>
      <c r="G20" s="119"/>
    </row>
    <row r="21" spans="2:13" ht="15" customHeight="1">
      <c r="E21" s="13"/>
    </row>
    <row r="22" spans="2:13" ht="15" customHeight="1">
      <c r="C22" s="17" t="s">
        <v>26</v>
      </c>
      <c r="E22" s="14"/>
      <c r="F22" s="118" t="str">
        <f>IF(ISBLANK(D20),"",IF(D20&gt;D24,B20,B24))</f>
        <v>Савельева</v>
      </c>
      <c r="G22" s="116"/>
    </row>
    <row r="23" spans="2:13" ht="15" customHeight="1">
      <c r="E23" s="14"/>
    </row>
    <row r="24" spans="2:13" ht="15" customHeight="1">
      <c r="B24" s="116" t="str">
        <f>IF(ISBLANK(D12),"",IF(D12&gt;D16,B16,B12))</f>
        <v>Савельева</v>
      </c>
      <c r="C24" s="117"/>
      <c r="D24" s="9">
        <v>9</v>
      </c>
      <c r="E24" s="15"/>
    </row>
    <row r="27" spans="2:13" ht="17.25" customHeight="1">
      <c r="B27" s="31" t="s">
        <v>23</v>
      </c>
      <c r="C27" s="31"/>
      <c r="D27" s="31"/>
    </row>
    <row r="28" spans="2:13" ht="15" customHeight="1">
      <c r="B28" s="31"/>
      <c r="C28" s="31"/>
      <c r="D28" s="31"/>
    </row>
    <row r="29" spans="2:13" ht="15" customHeight="1">
      <c r="B29" s="31"/>
      <c r="C29" s="31"/>
      <c r="D29" s="31"/>
    </row>
    <row r="30" spans="2:13" ht="15" customHeight="1">
      <c r="B30" s="31" t="s">
        <v>106</v>
      </c>
      <c r="C30" s="31"/>
      <c r="D30" s="31"/>
    </row>
  </sheetData>
  <mergeCells count="12">
    <mergeCell ref="B16:C16"/>
    <mergeCell ref="F22:G22"/>
    <mergeCell ref="B1:P1"/>
    <mergeCell ref="J10:K10"/>
    <mergeCell ref="B4:C4"/>
    <mergeCell ref="F6:G6"/>
    <mergeCell ref="B8:C8"/>
    <mergeCell ref="B24:C24"/>
    <mergeCell ref="B20:C20"/>
    <mergeCell ref="F20:G20"/>
    <mergeCell ref="B12:C12"/>
    <mergeCell ref="F14:G1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K40"/>
  <sheetViews>
    <sheetView topLeftCell="A10" zoomScaleNormal="100" workbookViewId="0">
      <selection activeCell="A37" sqref="A37:H40"/>
    </sheetView>
  </sheetViews>
  <sheetFormatPr defaultRowHeight="15"/>
  <cols>
    <col min="2" max="2" width="23.42578125" customWidth="1"/>
    <col min="3" max="3" width="26.7109375" customWidth="1"/>
    <col min="4" max="4" width="31.7109375" style="66" customWidth="1"/>
  </cols>
  <sheetData>
    <row r="1" spans="1:11" ht="54" customHeight="1">
      <c r="A1" s="120" t="s">
        <v>17</v>
      </c>
      <c r="B1" s="120"/>
      <c r="C1" s="120"/>
      <c r="D1" s="120"/>
      <c r="E1" s="22"/>
      <c r="F1" s="22"/>
      <c r="G1" s="22"/>
      <c r="H1" s="22"/>
      <c r="I1" s="22"/>
      <c r="J1" s="22"/>
      <c r="K1" s="22"/>
    </row>
    <row r="2" spans="1:11" ht="102.75" customHeight="1">
      <c r="A2" s="121" t="s">
        <v>51</v>
      </c>
      <c r="B2" s="121"/>
      <c r="C2" s="121"/>
      <c r="D2" s="121"/>
      <c r="E2" s="23"/>
      <c r="F2" s="23"/>
      <c r="G2" s="24"/>
      <c r="H2" s="24"/>
      <c r="I2" s="24"/>
      <c r="J2" s="24"/>
    </row>
    <row r="3" spans="1:11" ht="15.75" thickBot="1"/>
    <row r="4" spans="1:11">
      <c r="A4" s="25" t="s">
        <v>18</v>
      </c>
      <c r="B4" s="26" t="s">
        <v>19</v>
      </c>
      <c r="C4" s="26" t="s">
        <v>20</v>
      </c>
      <c r="D4" s="34" t="s">
        <v>21</v>
      </c>
    </row>
    <row r="5" spans="1:11">
      <c r="A5" s="27">
        <v>1</v>
      </c>
      <c r="B5" s="28" t="s">
        <v>53</v>
      </c>
      <c r="C5" s="28" t="s">
        <v>22</v>
      </c>
      <c r="D5" s="67">
        <v>15</v>
      </c>
      <c r="F5" s="29"/>
      <c r="G5" s="29"/>
      <c r="H5" s="29"/>
      <c r="I5" s="29"/>
      <c r="J5" s="29"/>
      <c r="K5" s="29"/>
    </row>
    <row r="6" spans="1:11">
      <c r="A6" s="27">
        <v>1</v>
      </c>
      <c r="B6" s="32" t="s">
        <v>54</v>
      </c>
      <c r="C6" s="28" t="s">
        <v>22</v>
      </c>
      <c r="D6" s="67">
        <v>15</v>
      </c>
      <c r="F6" s="30"/>
      <c r="G6" s="29"/>
      <c r="H6" s="29"/>
      <c r="I6" s="29"/>
      <c r="J6" s="29"/>
      <c r="K6" s="29"/>
    </row>
    <row r="7" spans="1:11">
      <c r="A7" s="27">
        <v>2</v>
      </c>
      <c r="B7" s="28" t="s">
        <v>55</v>
      </c>
      <c r="C7" s="28" t="s">
        <v>22</v>
      </c>
      <c r="D7" s="67">
        <v>13</v>
      </c>
      <c r="F7" s="29"/>
      <c r="G7" s="29"/>
      <c r="H7" s="29"/>
      <c r="I7" s="29"/>
      <c r="J7" s="29"/>
      <c r="K7" s="29"/>
    </row>
    <row r="8" spans="1:11">
      <c r="A8" s="27">
        <v>2</v>
      </c>
      <c r="B8" s="28" t="s">
        <v>56</v>
      </c>
      <c r="C8" s="28" t="s">
        <v>22</v>
      </c>
      <c r="D8" s="67">
        <v>13</v>
      </c>
      <c r="F8" s="29"/>
      <c r="G8" s="29"/>
      <c r="H8" s="29"/>
      <c r="I8" s="29"/>
      <c r="J8" s="29"/>
      <c r="K8" s="29"/>
    </row>
    <row r="9" spans="1:11">
      <c r="A9" s="27">
        <v>3</v>
      </c>
      <c r="B9" s="28" t="s">
        <v>15</v>
      </c>
      <c r="C9" s="28" t="s">
        <v>57</v>
      </c>
      <c r="D9" s="67">
        <v>11</v>
      </c>
      <c r="F9" s="29"/>
      <c r="G9" s="29"/>
      <c r="H9" s="29"/>
      <c r="I9" s="29"/>
      <c r="J9" s="29"/>
      <c r="K9" s="29"/>
    </row>
    <row r="10" spans="1:11">
      <c r="A10" s="27">
        <v>3</v>
      </c>
      <c r="B10" s="28" t="s">
        <v>58</v>
      </c>
      <c r="C10" s="28" t="s">
        <v>22</v>
      </c>
      <c r="D10" s="67">
        <v>11</v>
      </c>
      <c r="F10" s="29"/>
      <c r="G10" s="29"/>
      <c r="H10" s="29"/>
      <c r="I10" s="29"/>
      <c r="J10" s="29"/>
      <c r="K10" s="29"/>
    </row>
    <row r="11" spans="1:11">
      <c r="A11" s="33" t="s">
        <v>52</v>
      </c>
      <c r="B11" s="28" t="s">
        <v>59</v>
      </c>
      <c r="C11" s="28" t="s">
        <v>22</v>
      </c>
      <c r="D11" s="67">
        <v>10</v>
      </c>
      <c r="F11" s="29"/>
      <c r="G11" s="29"/>
      <c r="H11" s="29"/>
      <c r="I11" s="29"/>
      <c r="J11" s="29"/>
      <c r="K11" s="29"/>
    </row>
    <row r="12" spans="1:11">
      <c r="A12" s="33" t="s">
        <v>52</v>
      </c>
      <c r="B12" s="28" t="s">
        <v>60</v>
      </c>
      <c r="C12" s="28" t="s">
        <v>22</v>
      </c>
      <c r="D12" s="67">
        <v>10</v>
      </c>
      <c r="F12" s="29"/>
      <c r="G12" s="29"/>
      <c r="H12" s="29"/>
      <c r="I12" s="29"/>
      <c r="J12" s="29"/>
      <c r="K12" s="29"/>
    </row>
    <row r="13" spans="1:11">
      <c r="A13" s="63">
        <v>5</v>
      </c>
      <c r="B13" s="62" t="s">
        <v>61</v>
      </c>
      <c r="C13" s="62" t="s">
        <v>22</v>
      </c>
      <c r="D13" s="68">
        <v>9</v>
      </c>
    </row>
    <row r="14" spans="1:11">
      <c r="A14" s="63">
        <v>5</v>
      </c>
      <c r="B14" s="62" t="s">
        <v>14</v>
      </c>
      <c r="C14" s="62" t="s">
        <v>22</v>
      </c>
      <c r="D14" s="68">
        <v>9</v>
      </c>
    </row>
    <row r="15" spans="1:11">
      <c r="A15" s="63">
        <v>6</v>
      </c>
      <c r="B15" s="62" t="s">
        <v>62</v>
      </c>
      <c r="C15" s="62" t="s">
        <v>22</v>
      </c>
      <c r="D15" s="68">
        <v>8</v>
      </c>
    </row>
    <row r="16" spans="1:11">
      <c r="A16" s="63">
        <v>6</v>
      </c>
      <c r="B16" s="62" t="s">
        <v>63</v>
      </c>
      <c r="C16" s="62" t="s">
        <v>22</v>
      </c>
      <c r="D16" s="68">
        <v>8</v>
      </c>
    </row>
    <row r="17" spans="1:4">
      <c r="A17" s="63">
        <v>7</v>
      </c>
      <c r="B17" s="62" t="s">
        <v>64</v>
      </c>
      <c r="C17" s="62" t="s">
        <v>22</v>
      </c>
      <c r="D17" s="68">
        <v>7</v>
      </c>
    </row>
    <row r="18" spans="1:4">
      <c r="A18" s="63">
        <v>7</v>
      </c>
      <c r="B18" s="62" t="s">
        <v>65</v>
      </c>
      <c r="C18" s="62" t="s">
        <v>22</v>
      </c>
      <c r="D18" s="68">
        <v>7</v>
      </c>
    </row>
    <row r="19" spans="1:4">
      <c r="A19" s="63">
        <v>8</v>
      </c>
      <c r="B19" s="62" t="s">
        <v>66</v>
      </c>
      <c r="C19" s="62" t="s">
        <v>22</v>
      </c>
      <c r="D19" s="68">
        <v>6</v>
      </c>
    </row>
    <row r="20" spans="1:4">
      <c r="A20" s="63">
        <v>8</v>
      </c>
      <c r="B20" s="62" t="s">
        <v>67</v>
      </c>
      <c r="C20" s="62" t="s">
        <v>22</v>
      </c>
      <c r="D20" s="68">
        <v>6</v>
      </c>
    </row>
    <row r="21" spans="1:4">
      <c r="A21" s="63">
        <v>9</v>
      </c>
      <c r="B21" s="62" t="s">
        <v>68</v>
      </c>
      <c r="C21" s="62" t="s">
        <v>22</v>
      </c>
      <c r="D21" s="68">
        <v>5</v>
      </c>
    </row>
    <row r="22" spans="1:4">
      <c r="A22" s="63">
        <v>9</v>
      </c>
      <c r="B22" s="62" t="s">
        <v>69</v>
      </c>
      <c r="C22" s="62" t="s">
        <v>22</v>
      </c>
      <c r="D22" s="68">
        <v>5</v>
      </c>
    </row>
    <row r="23" spans="1:4">
      <c r="A23" s="63">
        <v>10</v>
      </c>
      <c r="B23" s="62" t="s">
        <v>74</v>
      </c>
      <c r="C23" s="62" t="s">
        <v>22</v>
      </c>
      <c r="D23" s="68">
        <v>4</v>
      </c>
    </row>
    <row r="24" spans="1:4">
      <c r="A24" s="63">
        <v>10</v>
      </c>
      <c r="B24" s="62" t="s">
        <v>75</v>
      </c>
      <c r="C24" s="62" t="s">
        <v>22</v>
      </c>
      <c r="D24" s="68">
        <v>4</v>
      </c>
    </row>
    <row r="25" spans="1:4">
      <c r="A25" s="63">
        <v>11</v>
      </c>
      <c r="B25" s="62" t="s">
        <v>70</v>
      </c>
      <c r="C25" s="62" t="s">
        <v>22</v>
      </c>
      <c r="D25" s="68">
        <v>3</v>
      </c>
    </row>
    <row r="26" spans="1:4">
      <c r="A26" s="63">
        <v>11</v>
      </c>
      <c r="B26" s="62" t="s">
        <v>71</v>
      </c>
      <c r="C26" s="62" t="s">
        <v>22</v>
      </c>
      <c r="D26" s="68">
        <v>3</v>
      </c>
    </row>
    <row r="27" spans="1:4">
      <c r="A27" s="63">
        <v>12</v>
      </c>
      <c r="B27" s="62" t="s">
        <v>72</v>
      </c>
      <c r="C27" s="62" t="s">
        <v>22</v>
      </c>
      <c r="D27" s="68">
        <v>2</v>
      </c>
    </row>
    <row r="28" spans="1:4">
      <c r="A28" s="63">
        <v>12</v>
      </c>
      <c r="B28" s="62" t="s">
        <v>73</v>
      </c>
      <c r="C28" s="62" t="s">
        <v>22</v>
      </c>
      <c r="D28" s="68">
        <v>2</v>
      </c>
    </row>
    <row r="29" spans="1:4">
      <c r="A29" s="63">
        <v>13</v>
      </c>
      <c r="B29" s="62" t="s">
        <v>78</v>
      </c>
      <c r="C29" s="62" t="s">
        <v>22</v>
      </c>
      <c r="D29" s="68">
        <v>1</v>
      </c>
    </row>
    <row r="30" spans="1:4">
      <c r="A30" s="63">
        <v>13</v>
      </c>
      <c r="B30" s="62" t="s">
        <v>79</v>
      </c>
      <c r="C30" s="62" t="s">
        <v>22</v>
      </c>
      <c r="D30" s="68">
        <v>1</v>
      </c>
    </row>
    <row r="31" spans="1:4">
      <c r="A31" s="63">
        <v>14</v>
      </c>
      <c r="B31" s="62" t="s">
        <v>80</v>
      </c>
      <c r="C31" s="62" t="s">
        <v>22</v>
      </c>
      <c r="D31" s="68">
        <v>1</v>
      </c>
    </row>
    <row r="32" spans="1:4">
      <c r="A32" s="63">
        <v>14</v>
      </c>
      <c r="B32" s="62" t="s">
        <v>81</v>
      </c>
      <c r="C32" s="62" t="s">
        <v>22</v>
      </c>
      <c r="D32" s="68">
        <v>1</v>
      </c>
    </row>
    <row r="33" spans="1:8">
      <c r="A33" s="63">
        <v>15</v>
      </c>
      <c r="B33" s="62" t="s">
        <v>76</v>
      </c>
      <c r="C33" s="62" t="s">
        <v>22</v>
      </c>
      <c r="D33" s="68">
        <v>1</v>
      </c>
    </row>
    <row r="34" spans="1:8" ht="15.75" thickBot="1">
      <c r="A34" s="64">
        <v>15</v>
      </c>
      <c r="B34" s="65" t="s">
        <v>77</v>
      </c>
      <c r="C34" s="65" t="s">
        <v>22</v>
      </c>
      <c r="D34" s="69">
        <v>1</v>
      </c>
    </row>
    <row r="37" spans="1:8" ht="21">
      <c r="A37" s="11"/>
      <c r="B37" s="31" t="s">
        <v>23</v>
      </c>
      <c r="C37" s="31"/>
      <c r="D37" s="31"/>
      <c r="E37" s="10"/>
      <c r="F37" s="10"/>
      <c r="G37" s="10"/>
      <c r="H37" s="10"/>
    </row>
    <row r="38" spans="1:8" ht="21">
      <c r="A38" s="11"/>
      <c r="B38" s="31"/>
      <c r="C38" s="31"/>
      <c r="D38" s="31"/>
      <c r="E38" s="10"/>
      <c r="F38" s="10"/>
      <c r="G38" s="10"/>
      <c r="H38" s="10"/>
    </row>
    <row r="39" spans="1:8" ht="21">
      <c r="A39" s="11"/>
      <c r="B39" s="31"/>
      <c r="C39" s="31"/>
      <c r="D39" s="31"/>
      <c r="E39" s="10"/>
      <c r="F39" s="10"/>
      <c r="G39" s="10"/>
      <c r="H39" s="10"/>
    </row>
    <row r="40" spans="1:8" ht="21">
      <c r="A40" s="11"/>
      <c r="B40" s="31" t="s">
        <v>106</v>
      </c>
      <c r="C40" s="31"/>
      <c r="D40" s="31"/>
      <c r="E40" s="10"/>
      <c r="F40" s="10"/>
      <c r="G40" s="10"/>
      <c r="H40" s="10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topLeftCell="A43" workbookViewId="0">
      <selection activeCell="B57" sqref="B57:I60"/>
    </sheetView>
  </sheetViews>
  <sheetFormatPr defaultRowHeight="15"/>
  <cols>
    <col min="1" max="1" width="4" style="11" customWidth="1"/>
    <col min="2" max="12" width="10.28515625" customWidth="1"/>
    <col min="13" max="13" width="10.28515625" style="19" customWidth="1"/>
    <col min="14" max="15" width="10.28515625" customWidth="1"/>
  </cols>
  <sheetData>
    <row r="1" spans="2:15" ht="59.25" customHeight="1">
      <c r="B1" s="93" t="s">
        <v>83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5" ht="15.75" thickBot="1">
      <c r="M2"/>
    </row>
    <row r="3" spans="2:15" ht="30" customHeight="1" thickBot="1">
      <c r="B3" s="8"/>
      <c r="C3" s="95" t="s">
        <v>0</v>
      </c>
      <c r="D3" s="96"/>
      <c r="E3" s="9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7">
        <v>7</v>
      </c>
      <c r="M3" s="3" t="s">
        <v>1</v>
      </c>
      <c r="N3" s="1" t="s">
        <v>3</v>
      </c>
      <c r="O3" s="4" t="s">
        <v>2</v>
      </c>
    </row>
    <row r="4" spans="2:15" ht="24" customHeight="1">
      <c r="B4" s="98">
        <v>1</v>
      </c>
      <c r="C4" s="146" t="s">
        <v>99</v>
      </c>
      <c r="D4" s="147"/>
      <c r="E4" s="148"/>
      <c r="F4" s="35"/>
      <c r="G4" s="36" t="str">
        <f ca="1">INDIRECT(ADDRESS(29,6))&amp;":"&amp;INDIRECT(ADDRESS(29,7))</f>
        <v>10:1</v>
      </c>
      <c r="H4" s="36" t="str">
        <f ca="1">INDIRECT(ADDRESS(32,7))&amp;":"&amp;INDIRECT(ADDRESS(32,6))</f>
        <v>13:5</v>
      </c>
      <c r="I4" s="36" t="str">
        <f ca="1">INDIRECT(ADDRESS(38,6))&amp;":"&amp;INDIRECT(ADDRESS(38,7))</f>
        <v>13:2</v>
      </c>
      <c r="J4" s="36" t="str">
        <f ca="1">INDIRECT(ADDRESS(43,7))&amp;":"&amp;INDIRECT(ADDRESS(43,6))</f>
        <v>7:10</v>
      </c>
      <c r="K4" s="71" t="str">
        <f ca="1">INDIRECT(ADDRESS(47,6))&amp;":"&amp;INDIRECT(ADDRESS(47,7))</f>
        <v>10:9</v>
      </c>
      <c r="L4" s="37" t="str">
        <f ca="1">INDIRECT(ADDRESS(54,7))&amp;":"&amp;INDIRECT(ADDRESS(54,6))</f>
        <v>4:13</v>
      </c>
      <c r="M4" s="149">
        <f ca="1">IF(COUNT(F5:L5)=0,"",COUNTIF(F5:L5,"&gt;0")+0.5*COUNTIF(F5:L5,0))</f>
        <v>4</v>
      </c>
      <c r="N4" s="38"/>
      <c r="O4" s="145">
        <v>3</v>
      </c>
    </row>
    <row r="5" spans="2:15" ht="24" customHeight="1">
      <c r="B5" s="88"/>
      <c r="C5" s="138"/>
      <c r="D5" s="139"/>
      <c r="E5" s="140"/>
      <c r="F5" s="39"/>
      <c r="G5" s="40">
        <f ca="1">IF(LEN(INDIRECT(ADDRESS(ROW()-1, COLUMN())))=1,"",INDIRECT(ADDRESS(29,6))-INDIRECT(ADDRESS(29,7)))</f>
        <v>9</v>
      </c>
      <c r="H5" s="40">
        <f ca="1">IF(LEN(INDIRECT(ADDRESS(ROW()-1, COLUMN())))=1,"",INDIRECT(ADDRESS(32,7))-INDIRECT(ADDRESS(32,6)))</f>
        <v>8</v>
      </c>
      <c r="I5" s="40">
        <f ca="1">IF(LEN(INDIRECT(ADDRESS(ROW()-1, COLUMN())))=1,"",INDIRECT(ADDRESS(38,6))-INDIRECT(ADDRESS(38,7)))</f>
        <v>11</v>
      </c>
      <c r="J5" s="40">
        <f ca="1">IF(LEN(INDIRECT(ADDRESS(ROW()-1, COLUMN())))=1,"",INDIRECT(ADDRESS(43,7))-INDIRECT(ADDRESS(43,6)))</f>
        <v>-3</v>
      </c>
      <c r="K5" s="72">
        <f ca="1">IF(LEN(INDIRECT(ADDRESS(ROW()-1, COLUMN())))=1,"",INDIRECT(ADDRESS(47,6))-INDIRECT(ADDRESS(47,7)))</f>
        <v>1</v>
      </c>
      <c r="L5" s="41">
        <f ca="1">IF(LEN(INDIRECT(ADDRESS(ROW()-1, COLUMN())))=1,"",INDIRECT(ADDRESS(54,7))-INDIRECT(ADDRESS(54,6)))</f>
        <v>-9</v>
      </c>
      <c r="M5" s="92"/>
      <c r="N5" s="40">
        <f ca="1">IF(COUNT(F5:L5)=0,"",SUM(F5:L5))</f>
        <v>17</v>
      </c>
      <c r="O5" s="142"/>
    </row>
    <row r="6" spans="2:15" ht="24" customHeight="1">
      <c r="B6" s="87">
        <v>2</v>
      </c>
      <c r="C6" s="138" t="s">
        <v>100</v>
      </c>
      <c r="D6" s="139"/>
      <c r="E6" s="140"/>
      <c r="F6" s="42" t="str">
        <f ca="1">INDIRECT(ADDRESS(29,7))&amp;":"&amp;INDIRECT(ADDRESS(29,6))</f>
        <v>1:10</v>
      </c>
      <c r="G6" s="43"/>
      <c r="H6" s="44" t="str">
        <f ca="1">INDIRECT(ADDRESS(39,6))&amp;":"&amp;INDIRECT(ADDRESS(39,7))</f>
        <v>7:13</v>
      </c>
      <c r="I6" s="44" t="str">
        <f ca="1">INDIRECT(ADDRESS(42,7))&amp;":"&amp;INDIRECT(ADDRESS(42,6))</f>
        <v>12:6</v>
      </c>
      <c r="J6" s="44" t="str">
        <f ca="1">INDIRECT(ADDRESS(48,6))&amp;":"&amp;INDIRECT(ADDRESS(48,7))</f>
        <v>9:7</v>
      </c>
      <c r="K6" s="73" t="str">
        <f ca="1">INDIRECT(ADDRESS(53,7))&amp;":"&amp;INDIRECT(ADDRESS(53,6))</f>
        <v>11:13</v>
      </c>
      <c r="L6" s="45" t="str">
        <f ca="1">INDIRECT(ADDRESS(22,6))&amp;":"&amp;INDIRECT(ADDRESS(22,7))</f>
        <v>7:13</v>
      </c>
      <c r="M6" s="92">
        <f ca="1">IF(COUNT(F7:L7)=0,"",COUNTIF(F7:L7,"&gt;0")+0.5*COUNTIF(F7:L7,0))</f>
        <v>2</v>
      </c>
      <c r="N6" s="40"/>
      <c r="O6" s="141">
        <v>5</v>
      </c>
    </row>
    <row r="7" spans="2:15" ht="24" customHeight="1">
      <c r="B7" s="88"/>
      <c r="C7" s="138"/>
      <c r="D7" s="139"/>
      <c r="E7" s="140"/>
      <c r="F7" s="46">
        <f ca="1">IF(LEN(INDIRECT(ADDRESS(ROW()-1, COLUMN())))=1,"",INDIRECT(ADDRESS(29,7))-INDIRECT(ADDRESS(29,6)))</f>
        <v>-9</v>
      </c>
      <c r="G7" s="47"/>
      <c r="H7" s="40">
        <f ca="1">IF(LEN(INDIRECT(ADDRESS(ROW()-1, COLUMN())))=1,"",INDIRECT(ADDRESS(39,6))-INDIRECT(ADDRESS(39,7)))</f>
        <v>-6</v>
      </c>
      <c r="I7" s="40">
        <f ca="1">IF(LEN(INDIRECT(ADDRESS(ROW()-1, COLUMN())))=1,"",INDIRECT(ADDRESS(42,7))-INDIRECT(ADDRESS(42,6)))</f>
        <v>6</v>
      </c>
      <c r="J7" s="40">
        <f ca="1">IF(LEN(INDIRECT(ADDRESS(ROW()-1, COLUMN())))=1,"",INDIRECT(ADDRESS(48,6))-INDIRECT(ADDRESS(48,7)))</f>
        <v>2</v>
      </c>
      <c r="K7" s="72">
        <f ca="1">IF(LEN(INDIRECT(ADDRESS(ROW()-1, COLUMN())))=1,"",INDIRECT(ADDRESS(53,7))-INDIRECT(ADDRESS(53,6)))</f>
        <v>-2</v>
      </c>
      <c r="L7" s="41">
        <f ca="1">IF(LEN(INDIRECT(ADDRESS(ROW()-1, COLUMN())))=1,"",INDIRECT(ADDRESS(22,6))-INDIRECT(ADDRESS(22,7)))</f>
        <v>-6</v>
      </c>
      <c r="M7" s="92"/>
      <c r="N7" s="40">
        <f ca="1">IF(COUNT(F7:L7)=0,"",SUM(F7:L7))</f>
        <v>-15</v>
      </c>
      <c r="O7" s="142"/>
    </row>
    <row r="8" spans="2:15" ht="24" customHeight="1">
      <c r="B8" s="87">
        <v>3</v>
      </c>
      <c r="C8" s="138" t="s">
        <v>101</v>
      </c>
      <c r="D8" s="139"/>
      <c r="E8" s="140"/>
      <c r="F8" s="42" t="str">
        <f ca="1">INDIRECT(ADDRESS(32,6))&amp;":"&amp;INDIRECT(ADDRESS(32,7))</f>
        <v>5:13</v>
      </c>
      <c r="G8" s="44" t="str">
        <f ca="1">INDIRECT(ADDRESS(39,7))&amp;":"&amp;INDIRECT(ADDRESS(39,6))</f>
        <v>13:7</v>
      </c>
      <c r="H8" s="43"/>
      <c r="I8" s="44" t="str">
        <f ca="1">INDIRECT(ADDRESS(49,6))&amp;":"&amp;INDIRECT(ADDRESS(49,7))</f>
        <v>5:12</v>
      </c>
      <c r="J8" s="44" t="str">
        <f ca="1">INDIRECT(ADDRESS(52,7))&amp;":"&amp;INDIRECT(ADDRESS(52,6))</f>
        <v>8:13</v>
      </c>
      <c r="K8" s="73" t="str">
        <f ca="1">INDIRECT(ADDRESS(23,6))&amp;":"&amp;INDIRECT(ADDRESS(23,7))</f>
        <v>10:13</v>
      </c>
      <c r="L8" s="45" t="str">
        <f ca="1">INDIRECT(ADDRESS(28,7))&amp;":"&amp;INDIRECT(ADDRESS(28,6))</f>
        <v>4:10</v>
      </c>
      <c r="M8" s="92">
        <f ca="1">IF(COUNT(F9:L9)=0,"",COUNTIF(F9:L9,"&gt;0")+0.5*COUNTIF(F9:L9,0))</f>
        <v>1</v>
      </c>
      <c r="N8" s="40"/>
      <c r="O8" s="141">
        <v>7</v>
      </c>
    </row>
    <row r="9" spans="2:15" ht="24" customHeight="1">
      <c r="B9" s="88"/>
      <c r="C9" s="138"/>
      <c r="D9" s="139"/>
      <c r="E9" s="140"/>
      <c r="F9" s="46">
        <f ca="1">IF(LEN(INDIRECT(ADDRESS(ROW()-1, COLUMN())))=1,"",INDIRECT(ADDRESS(32,6))-INDIRECT(ADDRESS(32,7)))</f>
        <v>-8</v>
      </c>
      <c r="G9" s="40">
        <f ca="1">IF(LEN(INDIRECT(ADDRESS(ROW()-1, COLUMN())))=1,"",INDIRECT(ADDRESS(39,7))-INDIRECT(ADDRESS(39,6)))</f>
        <v>6</v>
      </c>
      <c r="H9" s="47"/>
      <c r="I9" s="40">
        <f ca="1">IF(LEN(INDIRECT(ADDRESS(ROW()-1, COLUMN())))=1,"",INDIRECT(ADDRESS(49,6))-INDIRECT(ADDRESS(49,7)))</f>
        <v>-7</v>
      </c>
      <c r="J9" s="40">
        <f ca="1">IF(LEN(INDIRECT(ADDRESS(ROW()-1, COLUMN())))=1,"",INDIRECT(ADDRESS(52,7))-INDIRECT(ADDRESS(52,6)))</f>
        <v>-5</v>
      </c>
      <c r="K9" s="72">
        <f ca="1">IF(LEN(INDIRECT(ADDRESS(ROW()-1, COLUMN())))=1,"",INDIRECT(ADDRESS(23,6))-INDIRECT(ADDRESS(23,7)))</f>
        <v>-3</v>
      </c>
      <c r="L9" s="41">
        <f ca="1">IF(LEN(INDIRECT(ADDRESS(ROW()-1, COLUMN())))=1,"",INDIRECT(ADDRESS(28,7))-INDIRECT(ADDRESS(28,6)))</f>
        <v>-6</v>
      </c>
      <c r="M9" s="92"/>
      <c r="N9" s="40">
        <f ca="1">IF(COUNT(F9:L9)=0,"",SUM(F9:L9))</f>
        <v>-23</v>
      </c>
      <c r="O9" s="142"/>
    </row>
    <row r="10" spans="2:15" ht="24" customHeight="1">
      <c r="B10" s="87">
        <v>4</v>
      </c>
      <c r="C10" s="138" t="s">
        <v>102</v>
      </c>
      <c r="D10" s="139"/>
      <c r="E10" s="140"/>
      <c r="F10" s="42" t="str">
        <f ca="1">INDIRECT(ADDRESS(38,7))&amp;":"&amp;INDIRECT(ADDRESS(38,6))</f>
        <v>2:13</v>
      </c>
      <c r="G10" s="44" t="str">
        <f ca="1">INDIRECT(ADDRESS(42,6))&amp;":"&amp;INDIRECT(ADDRESS(42,7))</f>
        <v>6:12</v>
      </c>
      <c r="H10" s="44" t="str">
        <f ca="1">INDIRECT(ADDRESS(49,7))&amp;":"&amp;INDIRECT(ADDRESS(49,6))</f>
        <v>12:5</v>
      </c>
      <c r="I10" s="43"/>
      <c r="J10" s="44" t="str">
        <f ca="1">INDIRECT(ADDRESS(24,6))&amp;":"&amp;INDIRECT(ADDRESS(24,7))</f>
        <v>13:8</v>
      </c>
      <c r="K10" s="73" t="str">
        <f ca="1">INDIRECT(ADDRESS(27,7))&amp;":"&amp;INDIRECT(ADDRESS(27,6))</f>
        <v>8:13</v>
      </c>
      <c r="L10" s="45" t="str">
        <f ca="1">INDIRECT(ADDRESS(33,6))&amp;":"&amp;INDIRECT(ADDRESS(33,7))</f>
        <v>13:2</v>
      </c>
      <c r="M10" s="92">
        <f ca="1">IF(COUNT(F11:L11)=0,"",COUNTIF(F11:L11,"&gt;0")+0.5*COUNTIF(F11:L11,0))</f>
        <v>3</v>
      </c>
      <c r="N10" s="40"/>
      <c r="O10" s="141">
        <v>4</v>
      </c>
    </row>
    <row r="11" spans="2:15" ht="24" customHeight="1">
      <c r="B11" s="88"/>
      <c r="C11" s="138"/>
      <c r="D11" s="139"/>
      <c r="E11" s="140"/>
      <c r="F11" s="46">
        <f ca="1">IF(LEN(INDIRECT(ADDRESS(ROW()-1, COLUMN())))=1,"",INDIRECT(ADDRESS(38,7))-INDIRECT(ADDRESS(38,6)))</f>
        <v>-11</v>
      </c>
      <c r="G11" s="40">
        <f ca="1">IF(LEN(INDIRECT(ADDRESS(ROW()-1, COLUMN())))=1,"",INDIRECT(ADDRESS(42,6))-INDIRECT(ADDRESS(42,7)))</f>
        <v>-6</v>
      </c>
      <c r="H11" s="40">
        <f ca="1">IF(LEN(INDIRECT(ADDRESS(ROW()-1, COLUMN())))=1,"",INDIRECT(ADDRESS(49,7))-INDIRECT(ADDRESS(49,6)))</f>
        <v>7</v>
      </c>
      <c r="I11" s="47"/>
      <c r="J11" s="40">
        <f ca="1">IF(LEN(INDIRECT(ADDRESS(ROW()-1, COLUMN())))=1,"",INDIRECT(ADDRESS(24,6))-INDIRECT(ADDRESS(24,7)))</f>
        <v>5</v>
      </c>
      <c r="K11" s="72">
        <f ca="1">IF(LEN(INDIRECT(ADDRESS(ROW()-1, COLUMN())))=1,"",INDIRECT(ADDRESS(27,7))-INDIRECT(ADDRESS(27,6)))</f>
        <v>-5</v>
      </c>
      <c r="L11" s="41">
        <f ca="1">IF(LEN(INDIRECT(ADDRESS(ROW()-1, COLUMN())))=1,"",INDIRECT(ADDRESS(33,6))-INDIRECT(ADDRESS(33,7)))</f>
        <v>11</v>
      </c>
      <c r="M11" s="92"/>
      <c r="N11" s="40">
        <f ca="1">IF(COUNT(F11:L11)=0,"",SUM(F11:L11))</f>
        <v>1</v>
      </c>
      <c r="O11" s="142"/>
    </row>
    <row r="12" spans="2:15" ht="24" customHeight="1">
      <c r="B12" s="87">
        <v>5</v>
      </c>
      <c r="C12" s="138" t="s">
        <v>104</v>
      </c>
      <c r="D12" s="139"/>
      <c r="E12" s="140"/>
      <c r="F12" s="42" t="str">
        <f ca="1">INDIRECT(ADDRESS(43,6))&amp;":"&amp;INDIRECT(ADDRESS(43,7))</f>
        <v>10:7</v>
      </c>
      <c r="G12" s="44" t="str">
        <f ca="1">INDIRECT(ADDRESS(48,7))&amp;":"&amp;INDIRECT(ADDRESS(48,6))</f>
        <v>7:9</v>
      </c>
      <c r="H12" s="44" t="str">
        <f ca="1">INDIRECT(ADDRESS(52,6))&amp;":"&amp;INDIRECT(ADDRESS(52,7))</f>
        <v>13:8</v>
      </c>
      <c r="I12" s="44" t="str">
        <f ca="1">INDIRECT(ADDRESS(24,7))&amp;":"&amp;INDIRECT(ADDRESS(24,6))</f>
        <v>8:13</v>
      </c>
      <c r="J12" s="43"/>
      <c r="K12" s="73" t="str">
        <f ca="1">INDIRECT(ADDRESS(34,6))&amp;":"&amp;INDIRECT(ADDRESS(34,7))</f>
        <v>2:13</v>
      </c>
      <c r="L12" s="45" t="str">
        <f ca="1">INDIRECT(ADDRESS(37,7))&amp;":"&amp;INDIRECT(ADDRESS(37,6))</f>
        <v>8:12</v>
      </c>
      <c r="M12" s="92">
        <f ca="1">IF(COUNT(F13:L13)=0,"",COUNTIF(F13:L13,"&gt;0")+0.5*COUNTIF(F13:L13,0))</f>
        <v>2</v>
      </c>
      <c r="N12" s="40"/>
      <c r="O12" s="141">
        <v>6</v>
      </c>
    </row>
    <row r="13" spans="2:15" ht="24" customHeight="1">
      <c r="B13" s="88"/>
      <c r="C13" s="138"/>
      <c r="D13" s="139"/>
      <c r="E13" s="140"/>
      <c r="F13" s="46">
        <f ca="1">IF(LEN(INDIRECT(ADDRESS(ROW()-1, COLUMN())))=1,"",INDIRECT(ADDRESS(43,6))-INDIRECT(ADDRESS(43,7)))</f>
        <v>3</v>
      </c>
      <c r="G13" s="40">
        <f ca="1">IF(LEN(INDIRECT(ADDRESS(ROW()-1, COLUMN())))=1,"",INDIRECT(ADDRESS(48,7))-INDIRECT(ADDRESS(48,6)))</f>
        <v>-2</v>
      </c>
      <c r="H13" s="40">
        <f ca="1">IF(LEN(INDIRECT(ADDRESS(ROW()-1, COLUMN())))=1,"",INDIRECT(ADDRESS(52,6))-INDIRECT(ADDRESS(52,7)))</f>
        <v>5</v>
      </c>
      <c r="I13" s="40">
        <f ca="1">IF(LEN(INDIRECT(ADDRESS(ROW()-1, COLUMN())))=1,"",INDIRECT(ADDRESS(24,7))-INDIRECT(ADDRESS(24,6)))</f>
        <v>-5</v>
      </c>
      <c r="J13" s="47"/>
      <c r="K13" s="72">
        <f ca="1">IF(LEN(INDIRECT(ADDRESS(ROW()-1, COLUMN())))=1,"",INDIRECT(ADDRESS(34,6))-INDIRECT(ADDRESS(34,7)))</f>
        <v>-11</v>
      </c>
      <c r="L13" s="41">
        <f ca="1">IF(LEN(INDIRECT(ADDRESS(ROW()-1, COLUMN())))=1,"",INDIRECT(ADDRESS(37,7))-INDIRECT(ADDRESS(37,6)))</f>
        <v>-4</v>
      </c>
      <c r="M13" s="92"/>
      <c r="N13" s="40">
        <f ca="1">IF(COUNT(F13:L13)=0,"",SUM(F13:L13))</f>
        <v>-14</v>
      </c>
      <c r="O13" s="142"/>
    </row>
    <row r="14" spans="2:15" ht="24" customHeight="1">
      <c r="B14" s="87">
        <v>6</v>
      </c>
      <c r="C14" s="138" t="s">
        <v>103</v>
      </c>
      <c r="D14" s="139"/>
      <c r="E14" s="140"/>
      <c r="F14" s="42" t="str">
        <f ca="1">INDIRECT(ADDRESS(47,7))&amp;":"&amp;INDIRECT(ADDRESS(47,6))</f>
        <v>9:10</v>
      </c>
      <c r="G14" s="44" t="str">
        <f ca="1">INDIRECT(ADDRESS(53,6))&amp;":"&amp;INDIRECT(ADDRESS(53,7))</f>
        <v>13:11</v>
      </c>
      <c r="H14" s="44" t="str">
        <f ca="1">INDIRECT(ADDRESS(23,7))&amp;":"&amp;INDIRECT(ADDRESS(23,6))</f>
        <v>13:10</v>
      </c>
      <c r="I14" s="44" t="str">
        <f ca="1">INDIRECT(ADDRESS(27,6))&amp;":"&amp;INDIRECT(ADDRESS(27,7))</f>
        <v>13:8</v>
      </c>
      <c r="J14" s="44" t="str">
        <f ca="1">INDIRECT(ADDRESS(34,7))&amp;":"&amp;INDIRECT(ADDRESS(34,6))</f>
        <v>13:2</v>
      </c>
      <c r="K14" s="74"/>
      <c r="L14" s="75" t="str">
        <f ca="1">INDIRECT(ADDRESS(44,6))&amp;":"&amp;INDIRECT(ADDRESS(44,7))</f>
        <v>13:7</v>
      </c>
      <c r="M14" s="92">
        <f ca="1">IF(COUNT(F15:L15)=0,"",COUNTIF(F15:L15,"&gt;0")+0.5*COUNTIF(F15:L15,0))</f>
        <v>5</v>
      </c>
      <c r="N14" s="40"/>
      <c r="O14" s="141">
        <v>1</v>
      </c>
    </row>
    <row r="15" spans="2:15" ht="24" customHeight="1">
      <c r="B15" s="88"/>
      <c r="C15" s="138"/>
      <c r="D15" s="139"/>
      <c r="E15" s="140"/>
      <c r="F15" s="46">
        <f ca="1">IF(LEN(INDIRECT(ADDRESS(ROW()-1, COLUMN())))=1,"",INDIRECT(ADDRESS(47,7))-INDIRECT(ADDRESS(47,6)))</f>
        <v>-1</v>
      </c>
      <c r="G15" s="40">
        <f ca="1">IF(LEN(INDIRECT(ADDRESS(ROW()-1, COLUMN())))=1,"",INDIRECT(ADDRESS(53,6))-INDIRECT(ADDRESS(53,7)))</f>
        <v>2</v>
      </c>
      <c r="H15" s="40">
        <f ca="1">IF(LEN(INDIRECT(ADDRESS(ROW()-1, COLUMN())))=1,"",INDIRECT(ADDRESS(23,7))-INDIRECT(ADDRESS(23,6)))</f>
        <v>3</v>
      </c>
      <c r="I15" s="40">
        <f ca="1">IF(LEN(INDIRECT(ADDRESS(ROW()-1, COLUMN())))=1,"",INDIRECT(ADDRESS(27,6))-INDIRECT(ADDRESS(27,7)))</f>
        <v>5</v>
      </c>
      <c r="J15" s="40">
        <f ca="1">IF(LEN(INDIRECT(ADDRESS(ROW()-1, COLUMN())))=1,"",INDIRECT(ADDRESS(34,7))-INDIRECT(ADDRESS(34,6)))</f>
        <v>11</v>
      </c>
      <c r="K15" s="76"/>
      <c r="L15" s="77">
        <f ca="1">IF(LEN(INDIRECT(ADDRESS(ROW()-1, COLUMN())))=1,"",INDIRECT(ADDRESS(44,6))-INDIRECT(ADDRESS(44,7)))</f>
        <v>6</v>
      </c>
      <c r="M15" s="92"/>
      <c r="N15" s="40">
        <f ca="1">IF(COUNT(F15:L15)=0,"",SUM(F15:L15))</f>
        <v>26</v>
      </c>
      <c r="O15" s="142"/>
    </row>
    <row r="16" spans="2:15" ht="24" customHeight="1">
      <c r="B16" s="130">
        <v>7</v>
      </c>
      <c r="C16" s="131" t="s">
        <v>105</v>
      </c>
      <c r="D16" s="132"/>
      <c r="E16" s="133"/>
      <c r="F16" s="78" t="str">
        <f ca="1">INDIRECT(ADDRESS(54,6))&amp;":"&amp;INDIRECT(ADDRESS(54,7))</f>
        <v>13:4</v>
      </c>
      <c r="G16" s="79" t="str">
        <f ca="1">INDIRECT(ADDRESS(22,7))&amp;":"&amp;INDIRECT(ADDRESS(22,6))</f>
        <v>13:7</v>
      </c>
      <c r="H16" s="79" t="str">
        <f ca="1">INDIRECT(ADDRESS(28,6))&amp;":"&amp;INDIRECT(ADDRESS(28,7))</f>
        <v>10:4</v>
      </c>
      <c r="I16" s="79" t="str">
        <f ca="1">INDIRECT(ADDRESS(33,7))&amp;":"&amp;INDIRECT(ADDRESS(33,6))</f>
        <v>2:13</v>
      </c>
      <c r="J16" s="79" t="str">
        <f ca="1">INDIRECT(ADDRESS(37,6))&amp;":"&amp;INDIRECT(ADDRESS(37,7))</f>
        <v>12:8</v>
      </c>
      <c r="K16" s="80" t="str">
        <f ca="1">INDIRECT(ADDRESS(44,7))&amp;":"&amp;INDIRECT(ADDRESS(44,6))</f>
        <v>7:13</v>
      </c>
      <c r="L16" s="81"/>
      <c r="M16" s="92">
        <f ca="1">IF(COUNT(F17:L17)=0,"",COUNTIF(F17:L17,"&gt;0")+0.5*COUNTIF(F17:L17,0))</f>
        <v>4</v>
      </c>
      <c r="N16" s="82"/>
      <c r="O16" s="143">
        <v>2</v>
      </c>
    </row>
    <row r="17" spans="2:15" ht="24" customHeight="1" thickBot="1">
      <c r="B17" s="106"/>
      <c r="C17" s="134"/>
      <c r="D17" s="135"/>
      <c r="E17" s="136"/>
      <c r="F17" s="49">
        <f ca="1">IF(LEN(INDIRECT(ADDRESS(ROW()-1, COLUMN())))=1,"",INDIRECT(ADDRESS(54,6))-INDIRECT(ADDRESS(54,7)))</f>
        <v>9</v>
      </c>
      <c r="G17" s="50">
        <f ca="1">IF(LEN(INDIRECT(ADDRESS(ROW()-1, COLUMN())))=1,"",INDIRECT(ADDRESS(22,7))-INDIRECT(ADDRESS(22,6)))</f>
        <v>6</v>
      </c>
      <c r="H17" s="50">
        <f ca="1">IF(LEN(INDIRECT(ADDRESS(ROW()-1, COLUMN())))=1,"",INDIRECT(ADDRESS(28,6))-INDIRECT(ADDRESS(28,7)))</f>
        <v>6</v>
      </c>
      <c r="I17" s="50">
        <f ca="1">IF(LEN(INDIRECT(ADDRESS(ROW()-1, COLUMN())))=1,"",INDIRECT(ADDRESS(33,7))-INDIRECT(ADDRESS(33,6)))</f>
        <v>-11</v>
      </c>
      <c r="J17" s="50">
        <f ca="1">IF(LEN(INDIRECT(ADDRESS(ROW()-1, COLUMN())))=1,"",INDIRECT(ADDRESS(37,6))-INDIRECT(ADDRESS(37,7)))</f>
        <v>4</v>
      </c>
      <c r="K17" s="83">
        <f ca="1">IF(LEN(INDIRECT(ADDRESS(ROW()-1, COLUMN())))=1,"",INDIRECT(ADDRESS(44,7))-INDIRECT(ADDRESS(44,6)))</f>
        <v>-6</v>
      </c>
      <c r="L17" s="51"/>
      <c r="M17" s="110"/>
      <c r="N17" s="50">
        <f ca="1">IF(COUNT(F17:L17)=0,"",SUM(F17:L17))</f>
        <v>8</v>
      </c>
      <c r="O17" s="144"/>
    </row>
    <row r="18" spans="2:15">
      <c r="M18"/>
    </row>
    <row r="19" spans="2:15">
      <c r="M19"/>
    </row>
    <row r="20" spans="2:15">
      <c r="M20"/>
    </row>
    <row r="21" spans="2:15" ht="30" customHeight="1" thickBot="1">
      <c r="B21" s="113" t="s">
        <v>4</v>
      </c>
      <c r="C21" s="113"/>
      <c r="D21" s="113"/>
      <c r="E21" s="113"/>
      <c r="F21" s="113"/>
      <c r="G21" s="113"/>
      <c r="H21" s="113"/>
      <c r="I21" s="113"/>
      <c r="J21" s="113"/>
      <c r="K21" s="113"/>
      <c r="M21"/>
    </row>
    <row r="22" spans="2:15" ht="30" customHeight="1" thickBot="1">
      <c r="B22" s="5">
        <v>2</v>
      </c>
      <c r="C22" s="123" t="str">
        <f ca="1">IF(ISBLANK(INDIRECT(ADDRESS(B22*2+2,3))),"",INDIRECT(ADDRESS(B22*2+2,3)))</f>
        <v>Нечаев, Семченкова, Коржов</v>
      </c>
      <c r="D22" s="123"/>
      <c r="E22" s="124"/>
      <c r="F22" s="84">
        <v>7</v>
      </c>
      <c r="G22" s="85">
        <v>13</v>
      </c>
      <c r="H22" s="122" t="str">
        <f ca="1">IF(ISBLANK(INDIRECT(ADDRESS(K22*2+2,3))),"",INDIRECT(ADDRESS(K22*2+2,3)))</f>
        <v>Валибуз П., Танчин, Балашов</v>
      </c>
      <c r="I22" s="123"/>
      <c r="J22" s="123"/>
      <c r="K22" s="5">
        <v>7</v>
      </c>
      <c r="L22" s="17" t="s">
        <v>11</v>
      </c>
      <c r="M22" s="10"/>
    </row>
    <row r="23" spans="2:15" ht="30" customHeight="1" thickBot="1">
      <c r="B23" s="5">
        <v>3</v>
      </c>
      <c r="C23" s="125" t="str">
        <f ca="1">IF(ISBLANK(INDIRECT(ADDRESS(B23*2+2,3))),"",INDIRECT(ADDRESS(B23*2+2,3)))</f>
        <v>Капран-Индаяти, Луданов, Климанский</v>
      </c>
      <c r="D23" s="125"/>
      <c r="E23" s="126"/>
      <c r="F23" s="84">
        <v>10</v>
      </c>
      <c r="G23" s="85">
        <v>13</v>
      </c>
      <c r="H23" s="129" t="str">
        <f ca="1">IF(ISBLANK(INDIRECT(ADDRESS(K23*2+2,3))),"",INDIRECT(ADDRESS(K23*2+2,3)))</f>
        <v>Дегтярёва Л., Дегтярёва М., Ерёмин</v>
      </c>
      <c r="I23" s="125"/>
      <c r="J23" s="125"/>
      <c r="K23" s="5">
        <v>6</v>
      </c>
      <c r="L23" s="17" t="s">
        <v>11</v>
      </c>
      <c r="M23" s="10"/>
    </row>
    <row r="24" spans="2:15" ht="30" customHeight="1" thickBot="1">
      <c r="B24" s="5">
        <v>4</v>
      </c>
      <c r="C24" s="123" t="str">
        <f ca="1">IF(ISBLANK(INDIRECT(ADDRESS(B24*2+2,3))),"",INDIRECT(ADDRESS(B24*2+2,3)))</f>
        <v>Аваков, Грейцер, Лукин</v>
      </c>
      <c r="D24" s="123"/>
      <c r="E24" s="124"/>
      <c r="F24" s="84">
        <v>13</v>
      </c>
      <c r="G24" s="85">
        <v>8</v>
      </c>
      <c r="H24" s="122" t="str">
        <f ca="1">IF(ISBLANK(INDIRECT(ADDRESS(K24*2+2,3))),"",INDIRECT(ADDRESS(K24*2+2,3)))</f>
        <v>Автайкина, Акулова, Фёдорова А.</v>
      </c>
      <c r="I24" s="123"/>
      <c r="J24" s="123"/>
      <c r="K24" s="5">
        <v>5</v>
      </c>
      <c r="L24" s="17" t="s">
        <v>11</v>
      </c>
      <c r="M24" s="10"/>
    </row>
    <row r="25" spans="2:15" ht="30" customHeight="1"/>
    <row r="26" spans="2:15" ht="30" customHeight="1" thickBot="1">
      <c r="B26" s="113" t="s">
        <v>5</v>
      </c>
      <c r="C26" s="113"/>
      <c r="D26" s="113"/>
      <c r="E26" s="113"/>
      <c r="F26" s="113"/>
      <c r="G26" s="113"/>
      <c r="H26" s="113"/>
      <c r="I26" s="113"/>
      <c r="J26" s="113"/>
      <c r="K26" s="113"/>
    </row>
    <row r="27" spans="2:15" ht="30" customHeight="1" thickBot="1">
      <c r="B27" s="5">
        <v>6</v>
      </c>
      <c r="C27" s="128" t="str">
        <f ca="1">IF(ISBLANK(INDIRECT(ADDRESS(B27*2+2,3))),"",INDIRECT(ADDRESS(B27*2+2,3)))</f>
        <v>Дегтярёва Л., Дегтярёва М., Ерёмин</v>
      </c>
      <c r="D27" s="128"/>
      <c r="E27" s="137"/>
      <c r="F27" s="84">
        <v>13</v>
      </c>
      <c r="G27" s="85">
        <v>8</v>
      </c>
      <c r="H27" s="122" t="str">
        <f ca="1">IF(ISBLANK(INDIRECT(ADDRESS(K27*2+2,3))),"",INDIRECT(ADDRESS(K27*2+2,3)))</f>
        <v>Аваков, Грейцер, Лукин</v>
      </c>
      <c r="I27" s="123"/>
      <c r="J27" s="123"/>
      <c r="K27" s="5">
        <v>4</v>
      </c>
      <c r="L27" s="17" t="s">
        <v>11</v>
      </c>
      <c r="M27" s="10"/>
    </row>
    <row r="28" spans="2:15" ht="30" customHeight="1" thickBot="1">
      <c r="B28" s="5">
        <v>7</v>
      </c>
      <c r="C28" s="123" t="str">
        <f ca="1">IF(ISBLANK(INDIRECT(ADDRESS(B28*2+2,3))),"",INDIRECT(ADDRESS(B28*2+2,3)))</f>
        <v>Валибуз П., Танчин, Балашов</v>
      </c>
      <c r="D28" s="123"/>
      <c r="E28" s="124"/>
      <c r="F28" s="84">
        <v>10</v>
      </c>
      <c r="G28" s="85">
        <v>4</v>
      </c>
      <c r="H28" s="129" t="str">
        <f ca="1">IF(ISBLANK(INDIRECT(ADDRESS(K28*2+2,3))),"",INDIRECT(ADDRESS(K28*2+2,3)))</f>
        <v>Капран-Индаяти, Луданов, Климанский</v>
      </c>
      <c r="I28" s="125"/>
      <c r="J28" s="125"/>
      <c r="K28" s="5">
        <v>3</v>
      </c>
      <c r="L28" s="17" t="s">
        <v>11</v>
      </c>
      <c r="M28" s="10"/>
    </row>
    <row r="29" spans="2:15" ht="30" customHeight="1" thickBot="1">
      <c r="B29" s="5">
        <v>1</v>
      </c>
      <c r="C29" s="123" t="str">
        <f ca="1">IF(ISBLANK(INDIRECT(ADDRESS(B29*2+2,3))),"",INDIRECT(ADDRESS(B29*2+2,3)))</f>
        <v>Шустваль, Помазан Г., Костяная</v>
      </c>
      <c r="D29" s="123"/>
      <c r="E29" s="124"/>
      <c r="F29" s="84">
        <v>10</v>
      </c>
      <c r="G29" s="85">
        <v>1</v>
      </c>
      <c r="H29" s="122" t="str">
        <f ca="1">IF(ISBLANK(INDIRECT(ADDRESS(K29*2+2,3))),"",INDIRECT(ADDRESS(K29*2+2,3)))</f>
        <v>Нечаев, Семченкова, Коржов</v>
      </c>
      <c r="I29" s="123"/>
      <c r="J29" s="123"/>
      <c r="K29" s="5">
        <v>2</v>
      </c>
      <c r="L29" s="17" t="s">
        <v>11</v>
      </c>
      <c r="M29" s="10"/>
    </row>
    <row r="30" spans="2:15" ht="30" customHeight="1"/>
    <row r="31" spans="2:15" ht="30" customHeight="1" thickBot="1">
      <c r="B31" s="113" t="s">
        <v>6</v>
      </c>
      <c r="C31" s="113"/>
      <c r="D31" s="113"/>
      <c r="E31" s="113"/>
      <c r="F31" s="113"/>
      <c r="G31" s="113"/>
      <c r="H31" s="113"/>
      <c r="I31" s="113"/>
      <c r="J31" s="113"/>
      <c r="K31" s="113"/>
    </row>
    <row r="32" spans="2:15" ht="30" customHeight="1" thickBot="1">
      <c r="B32" s="5">
        <v>3</v>
      </c>
      <c r="C32" s="128" t="str">
        <f ca="1">IF(ISBLANK(INDIRECT(ADDRESS(B32*2+2,3))),"",INDIRECT(ADDRESS(B32*2+2,3)))</f>
        <v>Капран-Индаяти, Луданов, Климанский</v>
      </c>
      <c r="D32" s="128"/>
      <c r="E32" s="137"/>
      <c r="F32" s="84">
        <v>5</v>
      </c>
      <c r="G32" s="85">
        <v>13</v>
      </c>
      <c r="H32" s="122" t="str">
        <f ca="1">IF(ISBLANK(INDIRECT(ADDRESS(K32*2+2,3))),"",INDIRECT(ADDRESS(K32*2+2,3)))</f>
        <v>Шустваль, Помазан Г., Костяная</v>
      </c>
      <c r="I32" s="123"/>
      <c r="J32" s="123"/>
      <c r="K32" s="5">
        <v>1</v>
      </c>
      <c r="L32" s="17" t="s">
        <v>11</v>
      </c>
      <c r="M32" s="10"/>
    </row>
    <row r="33" spans="2:13" ht="30" customHeight="1" thickBot="1">
      <c r="B33" s="5">
        <v>4</v>
      </c>
      <c r="C33" s="123" t="str">
        <f ca="1">IF(ISBLANK(INDIRECT(ADDRESS(B33*2+2,3))),"",INDIRECT(ADDRESS(B33*2+2,3)))</f>
        <v>Аваков, Грейцер, Лукин</v>
      </c>
      <c r="D33" s="123"/>
      <c r="E33" s="124"/>
      <c r="F33" s="84">
        <v>13</v>
      </c>
      <c r="G33" s="85">
        <v>2</v>
      </c>
      <c r="H33" s="122" t="str">
        <f ca="1">IF(ISBLANK(INDIRECT(ADDRESS(K33*2+2,3))),"",INDIRECT(ADDRESS(K33*2+2,3)))</f>
        <v>Валибуз П., Танчин, Балашов</v>
      </c>
      <c r="I33" s="123"/>
      <c r="J33" s="123"/>
      <c r="K33" s="5">
        <v>7</v>
      </c>
      <c r="L33" s="17" t="s">
        <v>11</v>
      </c>
      <c r="M33" s="10"/>
    </row>
    <row r="34" spans="2:13" ht="30" customHeight="1" thickBot="1">
      <c r="B34" s="5">
        <v>5</v>
      </c>
      <c r="C34" s="123" t="str">
        <f ca="1">IF(ISBLANK(INDIRECT(ADDRESS(B34*2+2,3))),"",INDIRECT(ADDRESS(B34*2+2,3)))</f>
        <v>Автайкина, Акулова, Фёдорова А.</v>
      </c>
      <c r="D34" s="123"/>
      <c r="E34" s="124"/>
      <c r="F34" s="84">
        <v>2</v>
      </c>
      <c r="G34" s="85">
        <v>13</v>
      </c>
      <c r="H34" s="129" t="str">
        <f ca="1">IF(ISBLANK(INDIRECT(ADDRESS(K34*2+2,3))),"",INDIRECT(ADDRESS(K34*2+2,3)))</f>
        <v>Дегтярёва Л., Дегтярёва М., Ерёмин</v>
      </c>
      <c r="I34" s="125"/>
      <c r="J34" s="125"/>
      <c r="K34" s="5">
        <v>6</v>
      </c>
      <c r="L34" s="17" t="s">
        <v>11</v>
      </c>
      <c r="M34" s="10"/>
    </row>
    <row r="35" spans="2:13" ht="30" customHeight="1"/>
    <row r="36" spans="2:13" ht="30" customHeight="1" thickBot="1">
      <c r="B36" s="113" t="s">
        <v>8</v>
      </c>
      <c r="C36" s="113"/>
      <c r="D36" s="113"/>
      <c r="E36" s="113"/>
      <c r="F36" s="113"/>
      <c r="G36" s="113"/>
      <c r="H36" s="113"/>
      <c r="I36" s="113"/>
      <c r="J36" s="113"/>
      <c r="K36" s="113"/>
    </row>
    <row r="37" spans="2:13" ht="30" customHeight="1" thickBot="1">
      <c r="B37" s="5">
        <v>7</v>
      </c>
      <c r="C37" s="123" t="str">
        <f ca="1">IF(ISBLANK(INDIRECT(ADDRESS(B37*2+2,3))),"",INDIRECT(ADDRESS(B37*2+2,3)))</f>
        <v>Валибуз П., Танчин, Балашов</v>
      </c>
      <c r="D37" s="123"/>
      <c r="E37" s="124"/>
      <c r="F37" s="84">
        <v>12</v>
      </c>
      <c r="G37" s="85">
        <v>8</v>
      </c>
      <c r="H37" s="122" t="str">
        <f ca="1">IF(ISBLANK(INDIRECT(ADDRESS(K37*2+2,3))),"",INDIRECT(ADDRESS(K37*2+2,3)))</f>
        <v>Автайкина, Акулова, Фёдорова А.</v>
      </c>
      <c r="I37" s="123"/>
      <c r="J37" s="123"/>
      <c r="K37" s="5">
        <v>5</v>
      </c>
      <c r="L37" s="17" t="s">
        <v>11</v>
      </c>
      <c r="M37" s="10"/>
    </row>
    <row r="38" spans="2:13" ht="30" customHeight="1" thickBot="1">
      <c r="B38" s="5">
        <v>1</v>
      </c>
      <c r="C38" s="123" t="str">
        <f ca="1">IF(ISBLANK(INDIRECT(ADDRESS(B38*2+2,3))),"",INDIRECT(ADDRESS(B38*2+2,3)))</f>
        <v>Шустваль, Помазан Г., Костяная</v>
      </c>
      <c r="D38" s="123"/>
      <c r="E38" s="124"/>
      <c r="F38" s="84">
        <v>13</v>
      </c>
      <c r="G38" s="85">
        <v>2</v>
      </c>
      <c r="H38" s="122" t="str">
        <f ca="1">IF(ISBLANK(INDIRECT(ADDRESS(K38*2+2,3))),"",INDIRECT(ADDRESS(K38*2+2,3)))</f>
        <v>Аваков, Грейцер, Лукин</v>
      </c>
      <c r="I38" s="123"/>
      <c r="J38" s="123"/>
      <c r="K38" s="5">
        <v>4</v>
      </c>
      <c r="L38" s="17" t="s">
        <v>11</v>
      </c>
      <c r="M38" s="10"/>
    </row>
    <row r="39" spans="2:13" ht="30" customHeight="1" thickBot="1">
      <c r="B39" s="5">
        <v>2</v>
      </c>
      <c r="C39" s="123" t="str">
        <f ca="1">IF(ISBLANK(INDIRECT(ADDRESS(B39*2+2,3))),"",INDIRECT(ADDRESS(B39*2+2,3)))</f>
        <v>Нечаев, Семченкова, Коржов</v>
      </c>
      <c r="D39" s="123"/>
      <c r="E39" s="124"/>
      <c r="F39" s="84">
        <v>7</v>
      </c>
      <c r="G39" s="85">
        <v>13</v>
      </c>
      <c r="H39" s="129" t="str">
        <f ca="1">IF(ISBLANK(INDIRECT(ADDRESS(K39*2+2,3))),"",INDIRECT(ADDRESS(K39*2+2,3)))</f>
        <v>Капран-Индаяти, Луданов, Климанский</v>
      </c>
      <c r="I39" s="125"/>
      <c r="J39" s="125"/>
      <c r="K39" s="5">
        <v>3</v>
      </c>
      <c r="L39" s="17" t="s">
        <v>11</v>
      </c>
      <c r="M39" s="10"/>
    </row>
    <row r="40" spans="2:13" ht="30" customHeight="1"/>
    <row r="41" spans="2:13" ht="30" customHeight="1" thickBot="1">
      <c r="B41" s="113" t="s">
        <v>9</v>
      </c>
      <c r="C41" s="113"/>
      <c r="D41" s="113"/>
      <c r="E41" s="113"/>
      <c r="F41" s="113"/>
      <c r="G41" s="113"/>
      <c r="H41" s="113"/>
      <c r="I41" s="113"/>
      <c r="J41" s="113"/>
      <c r="K41" s="113"/>
    </row>
    <row r="42" spans="2:13" ht="30" customHeight="1" thickBot="1">
      <c r="B42" s="5">
        <v>4</v>
      </c>
      <c r="C42" s="123" t="str">
        <f ca="1">IF(ISBLANK(INDIRECT(ADDRESS(B42*2+2,3))),"",INDIRECT(ADDRESS(B42*2+2,3)))</f>
        <v>Аваков, Грейцер, Лукин</v>
      </c>
      <c r="D42" s="123"/>
      <c r="E42" s="124"/>
      <c r="F42" s="84">
        <v>6</v>
      </c>
      <c r="G42" s="85">
        <v>12</v>
      </c>
      <c r="H42" s="122" t="str">
        <f ca="1">IF(ISBLANK(INDIRECT(ADDRESS(K42*2+2,3))),"",INDIRECT(ADDRESS(K42*2+2,3)))</f>
        <v>Нечаев, Семченкова, Коржов</v>
      </c>
      <c r="I42" s="123"/>
      <c r="J42" s="123"/>
      <c r="K42" s="5">
        <v>2</v>
      </c>
      <c r="L42" s="17" t="s">
        <v>11</v>
      </c>
      <c r="M42" s="10"/>
    </row>
    <row r="43" spans="2:13" ht="30" customHeight="1" thickBot="1">
      <c r="B43" s="5">
        <v>5</v>
      </c>
      <c r="C43" s="123" t="str">
        <f ca="1">IF(ISBLANK(INDIRECT(ADDRESS(B43*2+2,3))),"",INDIRECT(ADDRESS(B43*2+2,3)))</f>
        <v>Автайкина, Акулова, Фёдорова А.</v>
      </c>
      <c r="D43" s="123"/>
      <c r="E43" s="124"/>
      <c r="F43" s="84">
        <v>10</v>
      </c>
      <c r="G43" s="85">
        <v>7</v>
      </c>
      <c r="H43" s="122" t="str">
        <f ca="1">IF(ISBLANK(INDIRECT(ADDRESS(K43*2+2,3))),"",INDIRECT(ADDRESS(K43*2+2,3)))</f>
        <v>Шустваль, Помазан Г., Костяная</v>
      </c>
      <c r="I43" s="123"/>
      <c r="J43" s="123"/>
      <c r="K43" s="5">
        <v>1</v>
      </c>
      <c r="L43" s="17" t="s">
        <v>11</v>
      </c>
      <c r="M43" s="10"/>
    </row>
    <row r="44" spans="2:13" ht="30" customHeight="1" thickBot="1">
      <c r="B44" s="5">
        <v>6</v>
      </c>
      <c r="C44" s="125" t="str">
        <f ca="1">IF(ISBLANK(INDIRECT(ADDRESS(B44*2+2,3))),"",INDIRECT(ADDRESS(B44*2+2,3)))</f>
        <v>Дегтярёва Л., Дегтярёва М., Ерёмин</v>
      </c>
      <c r="D44" s="125"/>
      <c r="E44" s="126"/>
      <c r="F44" s="84">
        <v>13</v>
      </c>
      <c r="G44" s="85">
        <v>7</v>
      </c>
      <c r="H44" s="122" t="str">
        <f ca="1">IF(ISBLANK(INDIRECT(ADDRESS(K44*2+2,3))),"",INDIRECT(ADDRESS(K44*2+2,3)))</f>
        <v>Валибуз П., Танчин, Балашов</v>
      </c>
      <c r="I44" s="123"/>
      <c r="J44" s="123"/>
      <c r="K44" s="5">
        <v>7</v>
      </c>
      <c r="L44" s="17" t="s">
        <v>11</v>
      </c>
      <c r="M44" s="10"/>
    </row>
    <row r="45" spans="2:13" ht="30" customHeight="1"/>
    <row r="46" spans="2:13" ht="30" customHeight="1" thickBot="1">
      <c r="B46" s="113" t="s">
        <v>12</v>
      </c>
      <c r="C46" s="113"/>
      <c r="D46" s="113"/>
      <c r="E46" s="113"/>
      <c r="F46" s="113"/>
      <c r="G46" s="113"/>
      <c r="H46" s="113"/>
      <c r="I46" s="113"/>
      <c r="J46" s="113"/>
      <c r="K46" s="113"/>
    </row>
    <row r="47" spans="2:13" ht="30" customHeight="1" thickBot="1">
      <c r="B47" s="5">
        <v>1</v>
      </c>
      <c r="C47" s="123" t="str">
        <f ca="1">IF(ISBLANK(INDIRECT(ADDRESS(B47*2+2,3))),"",INDIRECT(ADDRESS(B47*2+2,3)))</f>
        <v>Шустваль, Помазан Г., Костяная</v>
      </c>
      <c r="D47" s="123"/>
      <c r="E47" s="124"/>
      <c r="F47" s="84">
        <v>10</v>
      </c>
      <c r="G47" s="85">
        <v>9</v>
      </c>
      <c r="H47" s="127" t="str">
        <f ca="1">IF(ISBLANK(INDIRECT(ADDRESS(K47*2+2,3))),"",INDIRECT(ADDRESS(K47*2+2,3)))</f>
        <v>Дегтярёва Л., Дегтярёва М., Ерёмин</v>
      </c>
      <c r="I47" s="128"/>
      <c r="J47" s="128"/>
      <c r="K47" s="5">
        <v>6</v>
      </c>
      <c r="L47" s="17" t="s">
        <v>11</v>
      </c>
      <c r="M47" s="10"/>
    </row>
    <row r="48" spans="2:13" ht="30" customHeight="1" thickBot="1">
      <c r="B48" s="5">
        <v>2</v>
      </c>
      <c r="C48" s="123" t="str">
        <f ca="1">IF(ISBLANK(INDIRECT(ADDRESS(B48*2+2,3))),"",INDIRECT(ADDRESS(B48*2+2,3)))</f>
        <v>Нечаев, Семченкова, Коржов</v>
      </c>
      <c r="D48" s="123"/>
      <c r="E48" s="124"/>
      <c r="F48" s="84">
        <v>9</v>
      </c>
      <c r="G48" s="85">
        <v>7</v>
      </c>
      <c r="H48" s="122" t="str">
        <f ca="1">IF(ISBLANK(INDIRECT(ADDRESS(K48*2+2,3))),"",INDIRECT(ADDRESS(K48*2+2,3)))</f>
        <v>Автайкина, Акулова, Фёдорова А.</v>
      </c>
      <c r="I48" s="123"/>
      <c r="J48" s="123"/>
      <c r="K48" s="5">
        <v>5</v>
      </c>
      <c r="L48" s="17" t="s">
        <v>11</v>
      </c>
      <c r="M48" s="10"/>
    </row>
    <row r="49" spans="2:13" ht="30" customHeight="1" thickBot="1">
      <c r="B49" s="5">
        <v>3</v>
      </c>
      <c r="C49" s="125" t="str">
        <f ca="1">IF(ISBLANK(INDIRECT(ADDRESS(B49*2+2,3))),"",INDIRECT(ADDRESS(B49*2+2,3)))</f>
        <v>Капран-Индаяти, Луданов, Климанский</v>
      </c>
      <c r="D49" s="125"/>
      <c r="E49" s="126"/>
      <c r="F49" s="84">
        <v>5</v>
      </c>
      <c r="G49" s="85">
        <v>12</v>
      </c>
      <c r="H49" s="122" t="str">
        <f ca="1">IF(ISBLANK(INDIRECT(ADDRESS(K49*2+2,3))),"",INDIRECT(ADDRESS(K49*2+2,3)))</f>
        <v>Аваков, Грейцер, Лукин</v>
      </c>
      <c r="I49" s="123"/>
      <c r="J49" s="123"/>
      <c r="K49" s="5">
        <v>4</v>
      </c>
      <c r="L49" s="17" t="s">
        <v>11</v>
      </c>
      <c r="M49" s="10"/>
    </row>
    <row r="50" spans="2:13" ht="30" customHeight="1"/>
    <row r="51" spans="2:13" ht="30" customHeight="1" thickBot="1">
      <c r="B51" s="113" t="s">
        <v>13</v>
      </c>
      <c r="C51" s="113"/>
      <c r="D51" s="113"/>
      <c r="E51" s="113"/>
      <c r="F51" s="113"/>
      <c r="G51" s="113"/>
      <c r="H51" s="113"/>
      <c r="I51" s="113"/>
      <c r="J51" s="113"/>
      <c r="K51" s="113"/>
    </row>
    <row r="52" spans="2:13" ht="30" customHeight="1" thickBot="1">
      <c r="B52" s="5">
        <v>5</v>
      </c>
      <c r="C52" s="123" t="str">
        <f ca="1">IF(ISBLANK(INDIRECT(ADDRESS(B52*2+2,3))),"",INDIRECT(ADDRESS(B52*2+2,3)))</f>
        <v>Автайкина, Акулова, Фёдорова А.</v>
      </c>
      <c r="D52" s="123"/>
      <c r="E52" s="124"/>
      <c r="F52" s="84">
        <v>13</v>
      </c>
      <c r="G52" s="85">
        <v>8</v>
      </c>
      <c r="H52" s="127" t="str">
        <f ca="1">IF(ISBLANK(INDIRECT(ADDRESS(K52*2+2,3))),"",INDIRECT(ADDRESS(K52*2+2,3)))</f>
        <v>Капран-Индаяти, Луданов, Климанский</v>
      </c>
      <c r="I52" s="128"/>
      <c r="J52" s="128"/>
      <c r="K52" s="5">
        <v>3</v>
      </c>
      <c r="L52" s="17" t="s">
        <v>11</v>
      </c>
      <c r="M52" s="10"/>
    </row>
    <row r="53" spans="2:13" ht="30" customHeight="1" thickBot="1">
      <c r="B53" s="5">
        <v>6</v>
      </c>
      <c r="C53" s="125" t="str">
        <f ca="1">IF(ISBLANK(INDIRECT(ADDRESS(B53*2+2,3))),"",INDIRECT(ADDRESS(B53*2+2,3)))</f>
        <v>Дегтярёва Л., Дегтярёва М., Ерёмин</v>
      </c>
      <c r="D53" s="125"/>
      <c r="E53" s="126"/>
      <c r="F53" s="84">
        <v>13</v>
      </c>
      <c r="G53" s="85">
        <v>11</v>
      </c>
      <c r="H53" s="122" t="str">
        <f ca="1">IF(ISBLANK(INDIRECT(ADDRESS(K53*2+2,3))),"",INDIRECT(ADDRESS(K53*2+2,3)))</f>
        <v>Нечаев, Семченкова, Коржов</v>
      </c>
      <c r="I53" s="123"/>
      <c r="J53" s="123"/>
      <c r="K53" s="5">
        <v>2</v>
      </c>
      <c r="L53" s="17" t="s">
        <v>11</v>
      </c>
      <c r="M53" s="10"/>
    </row>
    <row r="54" spans="2:13" ht="30" customHeight="1" thickBot="1">
      <c r="B54" s="5">
        <v>7</v>
      </c>
      <c r="C54" s="123" t="str">
        <f ca="1">IF(ISBLANK(INDIRECT(ADDRESS(B54*2+2,3))),"",INDIRECT(ADDRESS(B54*2+2,3)))</f>
        <v>Валибуз П., Танчин, Балашов</v>
      </c>
      <c r="D54" s="123"/>
      <c r="E54" s="124"/>
      <c r="F54" s="84">
        <v>13</v>
      </c>
      <c r="G54" s="85">
        <v>4</v>
      </c>
      <c r="H54" s="122" t="str">
        <f ca="1">IF(ISBLANK(INDIRECT(ADDRESS(K54*2+2,3))),"",INDIRECT(ADDRESS(K54*2+2,3)))</f>
        <v>Шустваль, Помазан Г., Костяная</v>
      </c>
      <c r="I54" s="123"/>
      <c r="J54" s="123"/>
      <c r="K54" s="5">
        <v>1</v>
      </c>
      <c r="L54" s="17" t="s">
        <v>11</v>
      </c>
      <c r="M54" s="10"/>
    </row>
    <row r="57" spans="2:13" ht="21">
      <c r="B57" s="11"/>
      <c r="C57" s="31" t="s">
        <v>23</v>
      </c>
      <c r="D57" s="31"/>
      <c r="E57" s="31"/>
      <c r="F57" s="10"/>
      <c r="G57" s="10"/>
      <c r="H57" s="10"/>
      <c r="I57" s="10"/>
    </row>
    <row r="58" spans="2:13" ht="21">
      <c r="B58" s="11"/>
      <c r="C58" s="31"/>
      <c r="D58" s="31"/>
      <c r="E58" s="31"/>
      <c r="F58" s="10"/>
      <c r="G58" s="10"/>
      <c r="H58" s="10"/>
      <c r="I58" s="10"/>
    </row>
    <row r="59" spans="2:13" ht="21">
      <c r="B59" s="11"/>
      <c r="C59" s="31"/>
      <c r="D59" s="31"/>
      <c r="E59" s="31"/>
      <c r="F59" s="10"/>
      <c r="G59" s="10"/>
      <c r="H59" s="10"/>
      <c r="I59" s="10"/>
    </row>
    <row r="60" spans="2:13" ht="21">
      <c r="B60" s="11"/>
      <c r="C60" s="31" t="s">
        <v>106</v>
      </c>
      <c r="D60" s="31"/>
      <c r="E60" s="31"/>
      <c r="F60" s="10"/>
      <c r="G60" s="10"/>
      <c r="H60" s="10"/>
      <c r="I60" s="10"/>
    </row>
  </sheetData>
  <sheetCalcPr fullCalcOnLoad="1"/>
  <mergeCells count="79">
    <mergeCell ref="O8:O9"/>
    <mergeCell ref="O4:O5"/>
    <mergeCell ref="C3:E3"/>
    <mergeCell ref="B4:B5"/>
    <mergeCell ref="C4:E5"/>
    <mergeCell ref="M4:M5"/>
    <mergeCell ref="C12:E13"/>
    <mergeCell ref="M12:M13"/>
    <mergeCell ref="O12:O13"/>
    <mergeCell ref="B6:B7"/>
    <mergeCell ref="C6:E7"/>
    <mergeCell ref="M6:M7"/>
    <mergeCell ref="O6:O7"/>
    <mergeCell ref="B8:B9"/>
    <mergeCell ref="C8:E9"/>
    <mergeCell ref="M8:M9"/>
    <mergeCell ref="M14:M15"/>
    <mergeCell ref="O14:O15"/>
    <mergeCell ref="B21:K21"/>
    <mergeCell ref="M16:M17"/>
    <mergeCell ref="O16:O17"/>
    <mergeCell ref="B10:B11"/>
    <mergeCell ref="C10:E11"/>
    <mergeCell ref="M10:M11"/>
    <mergeCell ref="O10:O11"/>
    <mergeCell ref="B12:B13"/>
    <mergeCell ref="C22:E22"/>
    <mergeCell ref="H22:J22"/>
    <mergeCell ref="C23:E23"/>
    <mergeCell ref="H23:J23"/>
    <mergeCell ref="B14:B15"/>
    <mergeCell ref="C14:E15"/>
    <mergeCell ref="C38:E38"/>
    <mergeCell ref="H38:J38"/>
    <mergeCell ref="B31:K31"/>
    <mergeCell ref="C32:E32"/>
    <mergeCell ref="H32:J32"/>
    <mergeCell ref="C27:E27"/>
    <mergeCell ref="H27:J27"/>
    <mergeCell ref="H28:J28"/>
    <mergeCell ref="C29:E29"/>
    <mergeCell ref="H29:J29"/>
    <mergeCell ref="C34:E34"/>
    <mergeCell ref="H34:J34"/>
    <mergeCell ref="C39:E39"/>
    <mergeCell ref="H39:J39"/>
    <mergeCell ref="B16:B17"/>
    <mergeCell ref="C16:E17"/>
    <mergeCell ref="C24:E24"/>
    <mergeCell ref="H24:J24"/>
    <mergeCell ref="B26:K26"/>
    <mergeCell ref="C28:E28"/>
    <mergeCell ref="B41:K41"/>
    <mergeCell ref="C42:E42"/>
    <mergeCell ref="H42:J42"/>
    <mergeCell ref="C43:E43"/>
    <mergeCell ref="H43:J43"/>
    <mergeCell ref="C33:E33"/>
    <mergeCell ref="H33:J33"/>
    <mergeCell ref="B36:K36"/>
    <mergeCell ref="C37:E37"/>
    <mergeCell ref="H37:J37"/>
    <mergeCell ref="H52:J52"/>
    <mergeCell ref="C53:E53"/>
    <mergeCell ref="C44:E44"/>
    <mergeCell ref="H44:J44"/>
    <mergeCell ref="B46:K46"/>
    <mergeCell ref="C47:E47"/>
    <mergeCell ref="H47:J47"/>
    <mergeCell ref="H53:J53"/>
    <mergeCell ref="B1:O1"/>
    <mergeCell ref="C54:E54"/>
    <mergeCell ref="H54:J54"/>
    <mergeCell ref="C48:E48"/>
    <mergeCell ref="H48:J48"/>
    <mergeCell ref="C49:E49"/>
    <mergeCell ref="H49:J49"/>
    <mergeCell ref="B51:K51"/>
    <mergeCell ref="C52:E52"/>
  </mergeCells>
  <phoneticPr fontId="0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53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K48"/>
  <sheetViews>
    <sheetView tabSelected="1" zoomScaleNormal="100" workbookViewId="0">
      <selection activeCell="C25" sqref="C25"/>
    </sheetView>
  </sheetViews>
  <sheetFormatPr defaultRowHeight="15"/>
  <cols>
    <col min="2" max="2" width="23.42578125" customWidth="1"/>
    <col min="3" max="3" width="30" customWidth="1"/>
    <col min="4" max="4" width="31.7109375" style="66" customWidth="1"/>
  </cols>
  <sheetData>
    <row r="1" spans="1:11" ht="54" customHeight="1">
      <c r="A1" s="120" t="s">
        <v>17</v>
      </c>
      <c r="B1" s="120"/>
      <c r="C1" s="120"/>
      <c r="D1" s="120"/>
      <c r="E1" s="22"/>
      <c r="F1" s="22"/>
      <c r="G1" s="22"/>
      <c r="H1" s="22"/>
      <c r="I1" s="22"/>
      <c r="J1" s="22"/>
      <c r="K1" s="22"/>
    </row>
    <row r="2" spans="1:11" ht="102.75" customHeight="1">
      <c r="A2" s="121" t="s">
        <v>82</v>
      </c>
      <c r="B2" s="121"/>
      <c r="C2" s="121"/>
      <c r="D2" s="121"/>
      <c r="E2" s="23"/>
      <c r="F2" s="23"/>
      <c r="G2" s="24"/>
      <c r="H2" s="24"/>
      <c r="I2" s="24"/>
      <c r="J2" s="24"/>
    </row>
    <row r="3" spans="1:11" ht="15.75" thickBot="1"/>
    <row r="4" spans="1:11">
      <c r="A4" s="25" t="s">
        <v>18</v>
      </c>
      <c r="B4" s="26" t="s">
        <v>19</v>
      </c>
      <c r="C4" s="26" t="s">
        <v>20</v>
      </c>
      <c r="D4" s="34" t="s">
        <v>21</v>
      </c>
    </row>
    <row r="5" spans="1:11">
      <c r="A5" s="27">
        <v>1</v>
      </c>
      <c r="B5" s="28" t="s">
        <v>107</v>
      </c>
      <c r="C5" s="28" t="s">
        <v>22</v>
      </c>
      <c r="D5" s="67">
        <v>15</v>
      </c>
      <c r="F5" s="29"/>
      <c r="G5" s="29"/>
      <c r="H5" s="29"/>
      <c r="I5" s="29"/>
      <c r="J5" s="29"/>
      <c r="K5" s="29"/>
    </row>
    <row r="6" spans="1:11">
      <c r="A6" s="27">
        <v>1</v>
      </c>
      <c r="B6" s="86" t="s">
        <v>62</v>
      </c>
      <c r="C6" s="28" t="s">
        <v>22</v>
      </c>
      <c r="D6" s="67">
        <v>15</v>
      </c>
      <c r="F6" s="30"/>
      <c r="G6" s="29"/>
      <c r="H6" s="29"/>
      <c r="I6" s="29"/>
      <c r="J6" s="29"/>
      <c r="K6" s="29"/>
    </row>
    <row r="7" spans="1:11">
      <c r="A7" s="27">
        <v>1</v>
      </c>
      <c r="B7" s="28" t="s">
        <v>108</v>
      </c>
      <c r="C7" s="28" t="s">
        <v>22</v>
      </c>
      <c r="D7" s="67">
        <v>15</v>
      </c>
      <c r="F7" s="29"/>
      <c r="G7" s="29"/>
      <c r="H7" s="29"/>
      <c r="I7" s="29"/>
      <c r="J7" s="29"/>
      <c r="K7" s="29"/>
    </row>
    <row r="8" spans="1:11">
      <c r="A8" s="27">
        <v>2</v>
      </c>
      <c r="B8" s="28" t="s">
        <v>75</v>
      </c>
      <c r="C8" s="28" t="s">
        <v>22</v>
      </c>
      <c r="D8" s="67">
        <v>13</v>
      </c>
      <c r="F8" s="29"/>
      <c r="G8" s="29"/>
      <c r="H8" s="29"/>
      <c r="I8" s="29"/>
      <c r="J8" s="29"/>
      <c r="K8" s="29"/>
    </row>
    <row r="9" spans="1:11">
      <c r="A9" s="27">
        <v>2</v>
      </c>
      <c r="B9" s="28" t="s">
        <v>81</v>
      </c>
      <c r="C9" s="28" t="s">
        <v>22</v>
      </c>
      <c r="D9" s="67">
        <v>13</v>
      </c>
      <c r="F9" s="29"/>
      <c r="G9" s="29"/>
      <c r="H9" s="29"/>
      <c r="I9" s="29"/>
      <c r="J9" s="29"/>
      <c r="K9" s="29"/>
    </row>
    <row r="10" spans="1:11">
      <c r="A10" s="27">
        <v>2</v>
      </c>
      <c r="B10" s="28" t="s">
        <v>73</v>
      </c>
      <c r="C10" s="28" t="s">
        <v>22</v>
      </c>
      <c r="D10" s="67">
        <v>13</v>
      </c>
      <c r="F10" s="29"/>
      <c r="G10" s="29"/>
      <c r="H10" s="29"/>
      <c r="I10" s="29"/>
      <c r="J10" s="29"/>
      <c r="K10" s="29"/>
    </row>
    <row r="11" spans="1:11">
      <c r="A11" s="33" t="s">
        <v>84</v>
      </c>
      <c r="B11" s="28" t="s">
        <v>60</v>
      </c>
      <c r="C11" s="28" t="s">
        <v>22</v>
      </c>
      <c r="D11" s="67">
        <v>11</v>
      </c>
      <c r="F11" s="29"/>
      <c r="G11" s="29"/>
      <c r="H11" s="29"/>
      <c r="I11" s="29"/>
      <c r="J11" s="29"/>
      <c r="K11" s="29"/>
    </row>
    <row r="12" spans="1:11">
      <c r="A12" s="33" t="s">
        <v>84</v>
      </c>
      <c r="B12" s="28" t="s">
        <v>56</v>
      </c>
      <c r="C12" s="28" t="s">
        <v>22</v>
      </c>
      <c r="D12" s="67">
        <v>11</v>
      </c>
      <c r="F12" s="29"/>
      <c r="G12" s="29"/>
      <c r="H12" s="29"/>
      <c r="I12" s="29"/>
      <c r="J12" s="29"/>
      <c r="K12" s="29"/>
    </row>
    <row r="13" spans="1:11">
      <c r="A13" s="63">
        <v>3</v>
      </c>
      <c r="B13" s="62" t="s">
        <v>55</v>
      </c>
      <c r="C13" s="62" t="s">
        <v>22</v>
      </c>
      <c r="D13" s="68">
        <v>11</v>
      </c>
    </row>
    <row r="14" spans="1:11">
      <c r="A14" s="63">
        <v>4</v>
      </c>
      <c r="B14" s="62" t="s">
        <v>71</v>
      </c>
      <c r="C14" s="62" t="s">
        <v>22</v>
      </c>
      <c r="D14" s="68">
        <v>10</v>
      </c>
    </row>
    <row r="15" spans="1:11">
      <c r="A15" s="63">
        <v>4</v>
      </c>
      <c r="B15" s="62" t="s">
        <v>109</v>
      </c>
      <c r="C15" s="62" t="s">
        <v>22</v>
      </c>
      <c r="D15" s="68">
        <v>10</v>
      </c>
    </row>
    <row r="16" spans="1:11">
      <c r="A16" s="63">
        <v>4</v>
      </c>
      <c r="B16" s="62" t="s">
        <v>14</v>
      </c>
      <c r="C16" s="62" t="s">
        <v>22</v>
      </c>
      <c r="D16" s="68">
        <v>10</v>
      </c>
    </row>
    <row r="17" spans="1:8">
      <c r="A17" s="63">
        <v>5</v>
      </c>
      <c r="B17" s="62" t="s">
        <v>58</v>
      </c>
      <c r="C17" s="62" t="s">
        <v>22</v>
      </c>
      <c r="D17" s="68">
        <v>9</v>
      </c>
    </row>
    <row r="18" spans="1:8">
      <c r="A18" s="63">
        <v>5</v>
      </c>
      <c r="B18" s="62" t="s">
        <v>15</v>
      </c>
      <c r="C18" s="62" t="s">
        <v>57</v>
      </c>
      <c r="D18" s="68">
        <v>9</v>
      </c>
    </row>
    <row r="19" spans="1:8">
      <c r="A19" s="63">
        <v>5</v>
      </c>
      <c r="B19" s="62" t="s">
        <v>79</v>
      </c>
      <c r="C19" s="62" t="s">
        <v>22</v>
      </c>
      <c r="D19" s="68">
        <v>9</v>
      </c>
    </row>
    <row r="20" spans="1:8">
      <c r="A20" s="63">
        <v>6</v>
      </c>
      <c r="B20" s="62" t="s">
        <v>78</v>
      </c>
      <c r="C20" s="62" t="s">
        <v>22</v>
      </c>
      <c r="D20" s="68">
        <v>8</v>
      </c>
    </row>
    <row r="21" spans="1:8">
      <c r="A21" s="63">
        <v>6</v>
      </c>
      <c r="B21" s="62" t="s">
        <v>53</v>
      </c>
      <c r="C21" s="62" t="s">
        <v>22</v>
      </c>
      <c r="D21" s="68">
        <v>8</v>
      </c>
    </row>
    <row r="22" spans="1:8">
      <c r="A22" s="63">
        <v>6</v>
      </c>
      <c r="B22" s="62" t="s">
        <v>61</v>
      </c>
      <c r="C22" s="62" t="s">
        <v>22</v>
      </c>
      <c r="D22" s="68">
        <v>8</v>
      </c>
    </row>
    <row r="23" spans="1:8">
      <c r="A23" s="63">
        <v>7</v>
      </c>
      <c r="B23" s="62" t="s">
        <v>110</v>
      </c>
      <c r="C23" s="62" t="s">
        <v>111</v>
      </c>
      <c r="D23" s="68">
        <v>7</v>
      </c>
    </row>
    <row r="24" spans="1:8">
      <c r="A24" s="63">
        <v>7</v>
      </c>
      <c r="B24" s="62" t="s">
        <v>112</v>
      </c>
      <c r="C24" s="62" t="s">
        <v>22</v>
      </c>
      <c r="D24" s="68">
        <v>7</v>
      </c>
    </row>
    <row r="25" spans="1:8" ht="15.75" thickBot="1">
      <c r="A25" s="64">
        <v>7</v>
      </c>
      <c r="B25" s="65" t="s">
        <v>67</v>
      </c>
      <c r="C25" s="65" t="s">
        <v>22</v>
      </c>
      <c r="D25" s="69">
        <v>7</v>
      </c>
    </row>
    <row r="28" spans="1:8" ht="21">
      <c r="A28" s="11"/>
      <c r="B28" s="31" t="s">
        <v>23</v>
      </c>
      <c r="C28" s="31"/>
      <c r="D28" s="31"/>
      <c r="E28" s="10"/>
      <c r="F28" s="10"/>
      <c r="G28" s="10"/>
      <c r="H28" s="10"/>
    </row>
    <row r="29" spans="1:8" ht="21">
      <c r="A29" s="11"/>
      <c r="B29" s="31"/>
      <c r="C29" s="31"/>
      <c r="D29" s="31"/>
      <c r="E29" s="10"/>
      <c r="F29" s="10"/>
      <c r="G29" s="10"/>
      <c r="H29" s="10"/>
    </row>
    <row r="30" spans="1:8" ht="21">
      <c r="A30" s="11"/>
      <c r="B30" s="31"/>
      <c r="C30" s="31"/>
      <c r="D30" s="31"/>
      <c r="E30" s="10"/>
      <c r="F30" s="10"/>
      <c r="G30" s="10"/>
      <c r="H30" s="10"/>
    </row>
    <row r="31" spans="1:8" ht="21">
      <c r="A31" s="11"/>
      <c r="B31" s="31" t="s">
        <v>106</v>
      </c>
      <c r="C31" s="31"/>
      <c r="D31" s="31"/>
      <c r="E31" s="10"/>
      <c r="F31" s="10"/>
      <c r="G31" s="10"/>
      <c r="H31" s="10"/>
    </row>
    <row r="45" spans="1:4" ht="21">
      <c r="A45" s="31" t="s">
        <v>23</v>
      </c>
      <c r="B45" s="31"/>
      <c r="C45" s="31"/>
      <c r="D45" s="70"/>
    </row>
    <row r="46" spans="1:4" ht="21">
      <c r="A46" s="31"/>
      <c r="B46" s="31"/>
      <c r="C46" s="31"/>
      <c r="D46" s="70"/>
    </row>
    <row r="47" spans="1:4" ht="21">
      <c r="A47" s="31"/>
      <c r="B47" s="31"/>
      <c r="C47" s="31"/>
      <c r="D47" s="70"/>
    </row>
    <row r="48" spans="1:4" ht="21">
      <c r="A48" s="31" t="s">
        <v>24</v>
      </c>
      <c r="B48" s="31"/>
      <c r="C48" s="31"/>
      <c r="D48" s="70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ОРТ группа А</vt:lpstr>
      <vt:lpstr>ОРТ группа В</vt:lpstr>
      <vt:lpstr>ОРТ группа С</vt:lpstr>
      <vt:lpstr>ОРТ микст кубок А</vt:lpstr>
      <vt:lpstr>ОРТ микст кубок В</vt:lpstr>
      <vt:lpstr>ОРТ микст кубок С</vt:lpstr>
      <vt:lpstr>Итоги ГП России ОРТ микст</vt:lpstr>
      <vt:lpstr>ОРТ тройка</vt:lpstr>
      <vt:lpstr>Итоги ГП России ОРТ тройка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2025-08-28T16:09:57Z</cp:lastPrinted>
  <dcterms:created xsi:type="dcterms:W3CDTF">2009-05-19T09:37:33Z</dcterms:created>
  <dcterms:modified xsi:type="dcterms:W3CDTF">2025-08-28T16:59:44Z</dcterms:modified>
</cp:coreProperties>
</file>