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35ca4dde4c7e9dd/Документы/"/>
    </mc:Choice>
  </mc:AlternateContent>
  <xr:revisionPtr revIDLastSave="1" documentId="8_{1E111509-8520-4111-A701-7DA16F9E5C44}" xr6:coauthVersionLast="47" xr6:coauthVersionMax="47" xr10:uidLastSave="{F8A75EAD-0413-4D93-B4F7-8547C190FE95}"/>
  <bookViews>
    <workbookView xWindow="-120" yWindow="-120" windowWidth="51840" windowHeight="21120" firstSheet="1" activeTab="4" xr2:uid="{00000000-000D-0000-FFFF-FFFF00000000}"/>
  </bookViews>
  <sheets>
    <sheet name="Регистрация" sheetId="1" state="hidden" r:id="rId1"/>
    <sheet name="A" sheetId="2" r:id="rId2"/>
    <sheet name="B" sheetId="3" r:id="rId3"/>
    <sheet name="C" sheetId="4" r:id="rId4"/>
    <sheet name="Кубок А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8" l="1"/>
  <c r="G3" i="1"/>
  <c r="G4" i="1"/>
  <c r="G5" i="1"/>
  <c r="G6" i="1"/>
  <c r="G7" i="1"/>
  <c r="G8" i="1"/>
  <c r="G9" i="1"/>
  <c r="G10" i="1"/>
  <c r="G11" i="1"/>
  <c r="G12" i="1"/>
  <c r="G13" i="1"/>
  <c r="G14" i="1"/>
  <c r="G2" i="1"/>
  <c r="F10" i="3"/>
  <c r="H14" i="4"/>
  <c r="C20" i="2"/>
  <c r="K10" i="4"/>
  <c r="H6" i="3"/>
  <c r="H16" i="2"/>
  <c r="H6" i="4"/>
  <c r="F6" i="3"/>
  <c r="G12" i="4"/>
  <c r="C21" i="2"/>
  <c r="B16" i="8"/>
  <c r="I12" i="4"/>
  <c r="I4" i="2"/>
  <c r="B20" i="8"/>
  <c r="I8" i="3"/>
  <c r="K4" i="4"/>
  <c r="C24" i="2"/>
  <c r="H20" i="3"/>
  <c r="C21" i="3"/>
  <c r="K6" i="4"/>
  <c r="G8" i="3"/>
  <c r="H4" i="2"/>
  <c r="B32" i="8"/>
  <c r="C16" i="2"/>
  <c r="H6" i="2"/>
  <c r="G8" i="4"/>
  <c r="J6" i="4"/>
  <c r="I6" i="2"/>
  <c r="H24" i="3"/>
  <c r="F12" i="4"/>
  <c r="G10" i="2"/>
  <c r="G14" i="4"/>
  <c r="F8" i="3"/>
  <c r="G4" i="4"/>
  <c r="F7" i="3"/>
  <c r="B12" i="8"/>
  <c r="F10" i="4"/>
  <c r="F6" i="2"/>
  <c r="H17" i="2"/>
  <c r="H20" i="2"/>
  <c r="G10" i="4"/>
  <c r="F10" i="2"/>
  <c r="K8" i="4"/>
  <c r="G4" i="2"/>
  <c r="H10" i="2"/>
  <c r="H4" i="4"/>
  <c r="I6" i="4"/>
  <c r="K12" i="4"/>
  <c r="J4" i="4"/>
  <c r="I6" i="3"/>
  <c r="C25" i="2"/>
  <c r="I4" i="3"/>
  <c r="H21" i="2"/>
  <c r="F6" i="4"/>
  <c r="I8" i="4"/>
  <c r="C24" i="3"/>
  <c r="F14" i="4"/>
  <c r="I5" i="3"/>
  <c r="C20" i="3"/>
  <c r="I4" i="4"/>
  <c r="H4" i="3"/>
  <c r="H10" i="4"/>
  <c r="C17" i="3"/>
  <c r="G10" i="3"/>
  <c r="J10" i="4"/>
  <c r="F8" i="2"/>
  <c r="H12" i="4"/>
  <c r="J14" i="4"/>
  <c r="C25" i="3"/>
  <c r="G8" i="2"/>
  <c r="H25" i="3"/>
  <c r="J8" i="4"/>
  <c r="H17" i="3"/>
  <c r="F8" i="4"/>
  <c r="G4" i="3"/>
  <c r="I14" i="4"/>
  <c r="H24" i="2"/>
  <c r="H25" i="2"/>
  <c r="C17" i="2"/>
  <c r="B28" i="8"/>
  <c r="B8" i="8"/>
  <c r="H10" i="3"/>
  <c r="I8" i="2"/>
  <c r="I9" i="2" s="1"/>
  <c r="F30" i="8" l="1"/>
  <c r="F22" i="8"/>
  <c r="F14" i="8"/>
  <c r="F6" i="8"/>
  <c r="H5" i="3"/>
  <c r="I7" i="4"/>
  <c r="G9" i="4"/>
  <c r="C16" i="3"/>
  <c r="F7" i="2"/>
  <c r="H7" i="3"/>
  <c r="G9" i="3"/>
  <c r="C40" i="4"/>
  <c r="G5" i="4"/>
  <c r="G11" i="4"/>
  <c r="H35" i="4"/>
  <c r="H32" i="4"/>
  <c r="G9" i="2"/>
  <c r="C27" i="4"/>
  <c r="H30" i="4"/>
  <c r="H7" i="4"/>
  <c r="K11" i="4"/>
  <c r="C41" i="4"/>
  <c r="C36" i="4"/>
  <c r="I7" i="2"/>
  <c r="J11" i="4"/>
  <c r="F9" i="3"/>
  <c r="C35" i="4"/>
  <c r="G5" i="2"/>
  <c r="G11" i="3"/>
  <c r="H11" i="2"/>
  <c r="F11" i="3"/>
  <c r="C32" i="4"/>
  <c r="C25" i="4"/>
  <c r="G13" i="4"/>
  <c r="F13" i="4"/>
  <c r="I9" i="4"/>
  <c r="K13" i="4"/>
  <c r="H41" i="4"/>
  <c r="C42" i="4"/>
  <c r="I5" i="2"/>
  <c r="I7" i="3"/>
  <c r="C20" i="4"/>
  <c r="K9" i="4"/>
  <c r="J9" i="4"/>
  <c r="H40" i="4"/>
  <c r="C30" i="4"/>
  <c r="H13" i="4"/>
  <c r="J7" i="4"/>
  <c r="H26" i="4"/>
  <c r="F11" i="2"/>
  <c r="H31" i="4"/>
  <c r="H21" i="3"/>
  <c r="H11" i="3"/>
  <c r="H16" i="3"/>
  <c r="H5" i="4"/>
  <c r="I15" i="4"/>
  <c r="K5" i="4"/>
  <c r="I13" i="4"/>
  <c r="C31" i="4"/>
  <c r="H7" i="2"/>
  <c r="I9" i="3"/>
  <c r="F11" i="4"/>
  <c r="G5" i="3"/>
  <c r="H25" i="4"/>
  <c r="F9" i="2"/>
  <c r="H15" i="4"/>
  <c r="H37" i="4"/>
  <c r="F9" i="4"/>
  <c r="H42" i="4"/>
  <c r="H27" i="4"/>
  <c r="F7" i="4"/>
  <c r="G15" i="4"/>
  <c r="I5" i="4"/>
  <c r="H22" i="4"/>
  <c r="C21" i="4"/>
  <c r="K7" i="4"/>
  <c r="C26" i="4"/>
  <c r="F15" i="4"/>
  <c r="H21" i="4"/>
  <c r="H11" i="4"/>
  <c r="C22" i="4"/>
  <c r="J5" i="4"/>
  <c r="C37" i="4"/>
  <c r="H20" i="4"/>
  <c r="G11" i="2"/>
  <c r="H5" i="2"/>
  <c r="J15" i="4"/>
  <c r="H36" i="4"/>
  <c r="B40" i="8" l="1"/>
  <c r="B36" i="8"/>
  <c r="J26" i="8"/>
  <c r="J10" i="8"/>
  <c r="N18" i="8" s="1"/>
  <c r="J10" i="3"/>
  <c r="K11" i="3"/>
  <c r="L4" i="4"/>
  <c r="M5" i="4"/>
  <c r="K7" i="2"/>
  <c r="J6" i="2"/>
  <c r="M11" i="4"/>
  <c r="L10" i="4"/>
  <c r="L12" i="4"/>
  <c r="M13" i="4"/>
  <c r="J4" i="2"/>
  <c r="K5" i="2"/>
  <c r="K9" i="3"/>
  <c r="J8" i="3"/>
  <c r="M15" i="4"/>
  <c r="L14" i="4"/>
  <c r="K7" i="3"/>
  <c r="J6" i="3"/>
  <c r="L8" i="4"/>
  <c r="M9" i="4"/>
  <c r="K9" i="2"/>
  <c r="J8" i="2"/>
  <c r="J10" i="2"/>
  <c r="K11" i="2"/>
  <c r="M7" i="4"/>
  <c r="L6" i="4"/>
  <c r="J4" i="3"/>
  <c r="K5" i="3"/>
</calcChain>
</file>

<file path=xl/sharedStrings.xml><?xml version="1.0" encoding="utf-8"?>
<sst xmlns="http://schemas.openxmlformats.org/spreadsheetml/2006/main" count="169" uniqueCount="48">
  <si>
    <t>Команда</t>
  </si>
  <si>
    <t>победы</t>
  </si>
  <si>
    <t>доп</t>
  </si>
  <si>
    <t>место</t>
  </si>
  <si>
    <t/>
  </si>
  <si>
    <t>Тур 1</t>
  </si>
  <si>
    <t>дор.</t>
  </si>
  <si>
    <t>Тур 2</t>
  </si>
  <si>
    <t>Тур 3</t>
  </si>
  <si>
    <t>№ пп</t>
  </si>
  <si>
    <t>Игрок 1</t>
  </si>
  <si>
    <t>Игрок 2</t>
  </si>
  <si>
    <t>рейт 1</t>
  </si>
  <si>
    <t>рейт 2</t>
  </si>
  <si>
    <t>Рейт</t>
  </si>
  <si>
    <t>Тур 4</t>
  </si>
  <si>
    <t>Тур 5</t>
  </si>
  <si>
    <t>А1</t>
  </si>
  <si>
    <t>В2</t>
  </si>
  <si>
    <t>А4</t>
  </si>
  <si>
    <t>В3</t>
  </si>
  <si>
    <t>место пр</t>
  </si>
  <si>
    <t>доп.туры</t>
  </si>
  <si>
    <t>А2</t>
  </si>
  <si>
    <t>В1</t>
  </si>
  <si>
    <t>В4</t>
  </si>
  <si>
    <t>А3</t>
  </si>
  <si>
    <t>A</t>
  </si>
  <si>
    <t>C</t>
  </si>
  <si>
    <t>B</t>
  </si>
  <si>
    <t>Чемпионат Москвы 2026 дуплеты (М) Группа А</t>
  </si>
  <si>
    <t>Чемпионат Москвы 2026 дуплеты (М) Группа В</t>
  </si>
  <si>
    <t>Чемпионат Москвы 2026 дуплеты (М) Группа С</t>
  </si>
  <si>
    <t>Чемпионат Москвы 2026 дуплеты (М) Кубок А</t>
  </si>
  <si>
    <t>Шапкин</t>
  </si>
  <si>
    <t>Агапов</t>
  </si>
  <si>
    <t>Тарасов</t>
  </si>
  <si>
    <t>Гришков</t>
  </si>
  <si>
    <t>Хафидо</t>
  </si>
  <si>
    <t>Новиков</t>
  </si>
  <si>
    <t>Тихонов</t>
  </si>
  <si>
    <t>Давыдов</t>
  </si>
  <si>
    <t>Каргашин</t>
  </si>
  <si>
    <t>Савельев</t>
  </si>
  <si>
    <t>Вахрушев</t>
  </si>
  <si>
    <t>Филатов</t>
  </si>
  <si>
    <t>Глуховский</t>
  </si>
  <si>
    <t>Столяров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</si>
</sst>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##;\-##;0"/>
    <numFmt numFmtId="165" formatCode="\+##;\-##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indexed="8"/>
      <name val="Calibri Light"/>
      <family val="1"/>
      <charset val="204"/>
      <scheme val="major"/>
    </font>
    <font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22"/>
      <color indexed="8"/>
      <name val="Cambria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5" fontId="4" fillId="2" borderId="18" xfId="0" applyNumberFormat="1" applyFont="1" applyFill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5" fontId="4" fillId="2" borderId="19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5" fontId="4" fillId="2" borderId="2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right" indent="1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36" xfId="0" applyBorder="1" applyAlignment="1">
      <alignment vertical="center"/>
    </xf>
    <xf numFmtId="0" fontId="0" fillId="0" borderId="34" xfId="0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workbookViewId="0">
      <selection activeCell="B14" sqref="B14"/>
    </sheetView>
  </sheetViews>
  <sheetFormatPr defaultRowHeight="15" x14ac:dyDescent="0.25"/>
  <cols>
    <col min="2" max="2" width="35.42578125" customWidth="1"/>
    <col min="3" max="4" width="29" customWidth="1"/>
  </cols>
  <sheetData>
    <row r="1" spans="1:7" s="37" customFormat="1" x14ac:dyDescent="0.25">
      <c r="A1" s="37" t="s">
        <v>9</v>
      </c>
      <c r="B1" s="37" t="s">
        <v>0</v>
      </c>
      <c r="C1" s="37" t="s">
        <v>10</v>
      </c>
      <c r="D1" s="37" t="s">
        <v>11</v>
      </c>
      <c r="E1" s="37" t="s">
        <v>12</v>
      </c>
      <c r="F1" s="37" t="s">
        <v>13</v>
      </c>
      <c r="G1" s="37" t="s">
        <v>14</v>
      </c>
    </row>
    <row r="2" spans="1:7" x14ac:dyDescent="0.25">
      <c r="A2" s="38">
        <v>1</v>
      </c>
      <c r="G2">
        <f>F2+E2</f>
        <v>0</v>
      </c>
    </row>
    <row r="3" spans="1:7" x14ac:dyDescent="0.25">
      <c r="A3" s="38">
        <v>2</v>
      </c>
      <c r="G3">
        <f t="shared" ref="G3:G14" si="0">F3+E3</f>
        <v>0</v>
      </c>
    </row>
    <row r="4" spans="1:7" x14ac:dyDescent="0.25">
      <c r="A4" s="38">
        <v>3</v>
      </c>
      <c r="G4">
        <f t="shared" si="0"/>
        <v>0</v>
      </c>
    </row>
    <row r="5" spans="1:7" x14ac:dyDescent="0.25">
      <c r="A5" s="38">
        <v>4</v>
      </c>
      <c r="G5">
        <f t="shared" si="0"/>
        <v>0</v>
      </c>
    </row>
    <row r="6" spans="1:7" x14ac:dyDescent="0.25">
      <c r="A6" s="38">
        <v>5</v>
      </c>
      <c r="G6">
        <f t="shared" si="0"/>
        <v>0</v>
      </c>
    </row>
    <row r="7" spans="1:7" x14ac:dyDescent="0.25">
      <c r="A7" s="38">
        <v>6</v>
      </c>
      <c r="G7">
        <f t="shared" si="0"/>
        <v>0</v>
      </c>
    </row>
    <row r="8" spans="1:7" x14ac:dyDescent="0.25">
      <c r="A8" s="38">
        <v>7</v>
      </c>
      <c r="G8">
        <f t="shared" si="0"/>
        <v>0</v>
      </c>
    </row>
    <row r="9" spans="1:7" x14ac:dyDescent="0.25">
      <c r="A9" s="38">
        <v>8</v>
      </c>
      <c r="G9">
        <f t="shared" si="0"/>
        <v>0</v>
      </c>
    </row>
    <row r="10" spans="1:7" x14ac:dyDescent="0.25">
      <c r="A10" s="38">
        <v>9</v>
      </c>
      <c r="G10">
        <f t="shared" si="0"/>
        <v>0</v>
      </c>
    </row>
    <row r="11" spans="1:7" x14ac:dyDescent="0.25">
      <c r="A11" s="38">
        <v>10</v>
      </c>
      <c r="G11">
        <f t="shared" si="0"/>
        <v>0</v>
      </c>
    </row>
    <row r="12" spans="1:7" x14ac:dyDescent="0.25">
      <c r="A12" s="38">
        <v>11</v>
      </c>
      <c r="G12">
        <f t="shared" si="0"/>
        <v>0</v>
      </c>
    </row>
    <row r="13" spans="1:7" x14ac:dyDescent="0.25">
      <c r="A13" s="38">
        <v>12</v>
      </c>
      <c r="G13">
        <f t="shared" si="0"/>
        <v>0</v>
      </c>
    </row>
    <row r="14" spans="1:7" x14ac:dyDescent="0.25">
      <c r="A14" s="38">
        <v>13</v>
      </c>
      <c r="G14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3"/>
  <sheetViews>
    <sheetView workbookViewId="0">
      <selection activeCell="O21" sqref="O21"/>
    </sheetView>
  </sheetViews>
  <sheetFormatPr defaultRowHeight="15" x14ac:dyDescent="0.25"/>
  <cols>
    <col min="1" max="1" width="4" style="1" customWidth="1"/>
    <col min="2" max="15" width="10.28515625" customWidth="1"/>
  </cols>
  <sheetData>
    <row r="1" spans="1:14" ht="31.5" x14ac:dyDescent="0.25">
      <c r="B1" s="77" t="s">
        <v>30</v>
      </c>
      <c r="C1" s="77"/>
      <c r="D1" s="77"/>
      <c r="E1" s="77"/>
      <c r="F1" s="77"/>
      <c r="G1" s="77"/>
      <c r="H1" s="77"/>
      <c r="I1" s="77"/>
      <c r="J1" s="77"/>
      <c r="K1" s="77"/>
    </row>
    <row r="2" spans="1:14" ht="15.75" thickBot="1" x14ac:dyDescent="0.3"/>
    <row r="3" spans="1:14" ht="15.75" thickBot="1" x14ac:dyDescent="0.3">
      <c r="B3" s="2"/>
      <c r="C3" s="78" t="s">
        <v>0</v>
      </c>
      <c r="D3" s="79"/>
      <c r="E3" s="80"/>
      <c r="F3" s="3">
        <v>1</v>
      </c>
      <c r="G3" s="3">
        <v>2</v>
      </c>
      <c r="H3" s="4">
        <v>3</v>
      </c>
      <c r="I3" s="4">
        <v>4</v>
      </c>
      <c r="J3" s="2" t="s">
        <v>1</v>
      </c>
      <c r="K3" s="3" t="s">
        <v>2</v>
      </c>
      <c r="L3" s="5" t="s">
        <v>21</v>
      </c>
      <c r="M3" s="5" t="s">
        <v>22</v>
      </c>
      <c r="N3" s="5" t="s">
        <v>3</v>
      </c>
    </row>
    <row r="4" spans="1:14" ht="21" x14ac:dyDescent="0.25">
      <c r="B4" s="81">
        <v>1</v>
      </c>
      <c r="C4" s="82" t="s">
        <v>34</v>
      </c>
      <c r="D4" s="83"/>
      <c r="E4" s="84"/>
      <c r="F4" s="6" t="s">
        <v>4</v>
      </c>
      <c r="G4" s="7" t="str">
        <f ca="1">INDIRECT(ADDRESS(21,6))&amp;":"&amp;INDIRECT(ADDRESS(21,7))</f>
        <v>13:6</v>
      </c>
      <c r="H4" s="7" t="str">
        <f ca="1">INDIRECT(ADDRESS(25,7))&amp;":"&amp;INDIRECT(ADDRESS(25,6))</f>
        <v>3:9</v>
      </c>
      <c r="I4" s="8" t="str">
        <f ca="1">INDIRECT(ADDRESS(16,6))&amp;":"&amp;INDIRECT(ADDRESS(16,7))</f>
        <v>7:5</v>
      </c>
      <c r="J4" s="85">
        <f ca="1">IF(COUNT(F5:I5)=0,"",COUNTIF(F5:I5,"&gt;0")+0.5*COUNTIF(F5:I5,0))</f>
        <v>2</v>
      </c>
      <c r="K4" s="9"/>
      <c r="L4" s="57">
        <v>2</v>
      </c>
      <c r="M4" s="57">
        <v>1</v>
      </c>
      <c r="N4" s="57">
        <v>1</v>
      </c>
    </row>
    <row r="5" spans="1:14" ht="21" x14ac:dyDescent="0.25">
      <c r="B5" s="73"/>
      <c r="C5" s="74"/>
      <c r="D5" s="75"/>
      <c r="E5" s="76"/>
      <c r="F5" s="10" t="s">
        <v>4</v>
      </c>
      <c r="G5" s="11">
        <f ca="1">IF(LEN(INDIRECT(ADDRESS(ROW()-1, COLUMN())))=1,"",INDIRECT(ADDRESS(21,6))-INDIRECT(ADDRESS(21,7)))</f>
        <v>7</v>
      </c>
      <c r="H5" s="11">
        <f ca="1">IF(LEN(INDIRECT(ADDRESS(ROW()-1, COLUMN())))=1,"",INDIRECT(ADDRESS(25,7))-INDIRECT(ADDRESS(25,6)))</f>
        <v>-6</v>
      </c>
      <c r="I5" s="12">
        <f ca="1">IF(LEN(INDIRECT(ADDRESS(ROW()-1, COLUMN())))=1,"",INDIRECT(ADDRESS(16,6))-INDIRECT(ADDRESS(16,7)))</f>
        <v>2</v>
      </c>
      <c r="J5" s="71"/>
      <c r="K5" s="11">
        <f ca="1">IF(COUNT(F5:I5)=0,"",SUM(F5:I5))</f>
        <v>3</v>
      </c>
      <c r="L5" s="55"/>
      <c r="M5" s="55"/>
      <c r="N5" s="55"/>
    </row>
    <row r="6" spans="1:14" ht="21" x14ac:dyDescent="0.25">
      <c r="B6" s="63">
        <v>2</v>
      </c>
      <c r="C6" s="65" t="s">
        <v>35</v>
      </c>
      <c r="D6" s="66"/>
      <c r="E6" s="67"/>
      <c r="F6" s="13" t="str">
        <f ca="1">INDIRECT(ADDRESS(21,7))&amp;":"&amp;INDIRECT(ADDRESS(21,6))</f>
        <v>6:13</v>
      </c>
      <c r="G6" s="14" t="s">
        <v>4</v>
      </c>
      <c r="H6" s="15" t="str">
        <f ca="1">INDIRECT(ADDRESS(17,6))&amp;":"&amp;INDIRECT(ADDRESS(17,7))</f>
        <v>12:1</v>
      </c>
      <c r="I6" s="16" t="str">
        <f ca="1">INDIRECT(ADDRESS(24,6))&amp;":"&amp;INDIRECT(ADDRESS(24,7))</f>
        <v>7:11</v>
      </c>
      <c r="J6" s="71">
        <f ca="1">IF(COUNT(F7:I7)=0,"",COUNTIF(F7:I7,"&gt;0")+0.5*COUNTIF(F7:I7,0))</f>
        <v>1</v>
      </c>
      <c r="K6" s="11"/>
      <c r="L6" s="55">
        <v>4</v>
      </c>
      <c r="M6" s="55">
        <v>0</v>
      </c>
      <c r="N6" s="55">
        <v>4</v>
      </c>
    </row>
    <row r="7" spans="1:14" ht="21" x14ac:dyDescent="0.25">
      <c r="B7" s="73"/>
      <c r="C7" s="65"/>
      <c r="D7" s="66"/>
      <c r="E7" s="67"/>
      <c r="F7" s="17">
        <f ca="1">IF(LEN(INDIRECT(ADDRESS(ROW()-1, COLUMN())))=1,"",INDIRECT(ADDRESS(21,7))-INDIRECT(ADDRESS(21,6)))</f>
        <v>-7</v>
      </c>
      <c r="G7" s="18" t="s">
        <v>4</v>
      </c>
      <c r="H7" s="11">
        <f ca="1">IF(LEN(INDIRECT(ADDRESS(ROW()-1, COLUMN())))=1,"",INDIRECT(ADDRESS(17,6))-INDIRECT(ADDRESS(17,7)))</f>
        <v>11</v>
      </c>
      <c r="I7" s="12">
        <f ca="1">IF(LEN(INDIRECT(ADDRESS(ROW()-1, COLUMN())))=1,"",INDIRECT(ADDRESS(24,6))-INDIRECT(ADDRESS(24,7)))</f>
        <v>-4</v>
      </c>
      <c r="J7" s="71"/>
      <c r="K7" s="11">
        <f ca="1">IF(COUNT(F7:I7)=0,"",SUM(F7:I7))</f>
        <v>0</v>
      </c>
      <c r="L7" s="55"/>
      <c r="M7" s="55"/>
      <c r="N7" s="55"/>
    </row>
    <row r="8" spans="1:14" ht="21" x14ac:dyDescent="0.25">
      <c r="B8" s="63">
        <v>3</v>
      </c>
      <c r="C8" s="74" t="s">
        <v>36</v>
      </c>
      <c r="D8" s="75"/>
      <c r="E8" s="76"/>
      <c r="F8" s="13" t="str">
        <f ca="1">INDIRECT(ADDRESS(25,6))&amp;":"&amp;INDIRECT(ADDRESS(25,7))</f>
        <v>9:3</v>
      </c>
      <c r="G8" s="15" t="str">
        <f ca="1">INDIRECT(ADDRESS(17,7))&amp;":"&amp;INDIRECT(ADDRESS(17,6))</f>
        <v>1:12</v>
      </c>
      <c r="H8" s="14" t="s">
        <v>4</v>
      </c>
      <c r="I8" s="16" t="str">
        <f ca="1">INDIRECT(ADDRESS(20,7))&amp;":"&amp;INDIRECT(ADDRESS(20,6))</f>
        <v>7:6</v>
      </c>
      <c r="J8" s="71">
        <f ca="1">IF(COUNT(F9:I9)=0,"",COUNTIF(F9:I9,"&gt;0")+0.5*COUNTIF(F9:I9,0))</f>
        <v>2</v>
      </c>
      <c r="K8" s="11"/>
      <c r="L8" s="55">
        <v>1</v>
      </c>
      <c r="M8" s="55">
        <v>0</v>
      </c>
      <c r="N8" s="55">
        <v>2</v>
      </c>
    </row>
    <row r="9" spans="1:14" ht="21" x14ac:dyDescent="0.25">
      <c r="B9" s="73"/>
      <c r="C9" s="74"/>
      <c r="D9" s="75"/>
      <c r="E9" s="76"/>
      <c r="F9" s="17">
        <f ca="1">IF(LEN(INDIRECT(ADDRESS(ROW()-1, COLUMN())))=1,"",INDIRECT(ADDRESS(25,6))-INDIRECT(ADDRESS(25,7)))</f>
        <v>6</v>
      </c>
      <c r="G9" s="11">
        <f ca="1">IF(LEN(INDIRECT(ADDRESS(ROW()-1, COLUMN())))=1,"",INDIRECT(ADDRESS(17,7))-INDIRECT(ADDRESS(17,6)))</f>
        <v>-11</v>
      </c>
      <c r="H9" s="18" t="s">
        <v>4</v>
      </c>
      <c r="I9" s="12">
        <f ca="1">IF(LEN(INDIRECT(ADDRESS(ROW()-1, COLUMN())))=1,"",INDIRECT(ADDRESS(20,7))-INDIRECT(ADDRESS(20,6)))</f>
        <v>1</v>
      </c>
      <c r="J9" s="71"/>
      <c r="K9" s="11">
        <f ca="1">IF(COUNT(F9:I9)=0,"",SUM(F9:I9))</f>
        <v>-4</v>
      </c>
      <c r="L9" s="55"/>
      <c r="M9" s="55"/>
      <c r="N9" s="55"/>
    </row>
    <row r="10" spans="1:14" ht="21" x14ac:dyDescent="0.25">
      <c r="B10" s="63">
        <v>4</v>
      </c>
      <c r="C10" s="65" t="s">
        <v>37</v>
      </c>
      <c r="D10" s="66"/>
      <c r="E10" s="67"/>
      <c r="F10" s="13" t="str">
        <f ca="1">INDIRECT(ADDRESS(16,7))&amp;":"&amp;INDIRECT(ADDRESS(16,6))</f>
        <v>5:7</v>
      </c>
      <c r="G10" s="15" t="str">
        <f ca="1">INDIRECT(ADDRESS(24,7))&amp;":"&amp;INDIRECT(ADDRESS(24,6))</f>
        <v>11:7</v>
      </c>
      <c r="H10" s="15" t="str">
        <f ca="1">INDIRECT(ADDRESS(20,6))&amp;":"&amp;INDIRECT(ADDRESS(20,7))</f>
        <v>6:7</v>
      </c>
      <c r="I10" s="19" t="s">
        <v>4</v>
      </c>
      <c r="J10" s="71">
        <f ca="1">IF(COUNT(F11:I11)=0,"",COUNTIF(F11:I11,"&gt;0")+0.5*COUNTIF(F11:I11,0))</f>
        <v>1</v>
      </c>
      <c r="K10" s="11"/>
      <c r="L10" s="55">
        <v>3</v>
      </c>
      <c r="M10" s="55">
        <v>1</v>
      </c>
      <c r="N10" s="55">
        <v>3</v>
      </c>
    </row>
    <row r="11" spans="1:14" ht="21.75" thickBot="1" x14ac:dyDescent="0.3">
      <c r="B11" s="64"/>
      <c r="C11" s="68"/>
      <c r="D11" s="69"/>
      <c r="E11" s="70"/>
      <c r="F11" s="20">
        <f ca="1">IF(LEN(INDIRECT(ADDRESS(ROW()-1, COLUMN())))=1,"",INDIRECT(ADDRESS(16,7))-INDIRECT(ADDRESS(16,6)))</f>
        <v>-2</v>
      </c>
      <c r="G11" s="21">
        <f ca="1">IF(LEN(INDIRECT(ADDRESS(ROW()-1, COLUMN())))=1,"",INDIRECT(ADDRESS(24,7))-INDIRECT(ADDRESS(24,6)))</f>
        <v>4</v>
      </c>
      <c r="H11" s="21">
        <f ca="1">IF(LEN(INDIRECT(ADDRESS(ROW()-1, COLUMN())))=1,"",INDIRECT(ADDRESS(20,6))-INDIRECT(ADDRESS(20,7)))</f>
        <v>-1</v>
      </c>
      <c r="I11" s="22" t="s">
        <v>4</v>
      </c>
      <c r="J11" s="72"/>
      <c r="K11" s="21">
        <f ca="1">IF(COUNT(F11:I11)=0,"",SUM(F11:I11))</f>
        <v>1</v>
      </c>
      <c r="L11" s="56"/>
      <c r="M11" s="56"/>
      <c r="N11" s="56"/>
    </row>
    <row r="15" spans="1:14" s="24" customFormat="1" ht="21.75" thickBot="1" x14ac:dyDescent="0.4">
      <c r="A15" s="23"/>
      <c r="B15" s="62" t="s">
        <v>5</v>
      </c>
      <c r="C15" s="62"/>
      <c r="D15" s="62"/>
      <c r="E15" s="62"/>
      <c r="F15" s="62"/>
      <c r="G15" s="62"/>
      <c r="H15" s="62"/>
      <c r="I15" s="62"/>
      <c r="J15" s="62"/>
      <c r="K15" s="62"/>
    </row>
    <row r="16" spans="1:14" s="24" customFormat="1" ht="21.75" thickBot="1" x14ac:dyDescent="0.4">
      <c r="A16" s="23"/>
      <c r="B16" s="46">
        <v>1</v>
      </c>
      <c r="C16" s="59" t="str">
        <f ca="1">IF(ISBLANK(INDIRECT(ADDRESS(B16*2+2,3))),"",INDIRECT(ADDRESS(B16*2+2,3)))</f>
        <v>Шапкин</v>
      </c>
      <c r="D16" s="59"/>
      <c r="E16" s="60"/>
      <c r="F16" s="43">
        <v>7</v>
      </c>
      <c r="G16" s="44">
        <v>5</v>
      </c>
      <c r="H16" s="61" t="str">
        <f ca="1">IF(ISBLANK(INDIRECT(ADDRESS(K16*2+2,3))),"",INDIRECT(ADDRESS(K16*2+2,3)))</f>
        <v>Гришков</v>
      </c>
      <c r="I16" s="59"/>
      <c r="J16" s="59"/>
      <c r="K16" s="46">
        <v>4</v>
      </c>
      <c r="L16" s="27" t="s">
        <v>6</v>
      </c>
      <c r="M16" s="28"/>
    </row>
    <row r="17" spans="1:13" s="24" customFormat="1" ht="21.75" thickBot="1" x14ac:dyDescent="0.4">
      <c r="A17" s="23"/>
      <c r="B17" s="46">
        <v>2</v>
      </c>
      <c r="C17" s="59" t="str">
        <f ca="1">IF(ISBLANK(INDIRECT(ADDRESS(B17*2+2,3))),"",INDIRECT(ADDRESS(B17*2+2,3)))</f>
        <v>Агапов</v>
      </c>
      <c r="D17" s="59"/>
      <c r="E17" s="60"/>
      <c r="F17" s="43">
        <v>12</v>
      </c>
      <c r="G17" s="44">
        <v>1</v>
      </c>
      <c r="H17" s="61" t="str">
        <f ca="1">IF(ISBLANK(INDIRECT(ADDRESS(K17*2+2,3))),"",INDIRECT(ADDRESS(K17*2+2,3)))</f>
        <v>Тарасов</v>
      </c>
      <c r="I17" s="59"/>
      <c r="J17" s="59"/>
      <c r="K17" s="46">
        <v>3</v>
      </c>
      <c r="L17" s="27" t="s">
        <v>6</v>
      </c>
      <c r="M17" s="28"/>
    </row>
    <row r="18" spans="1:13" s="24" customFormat="1" ht="21" x14ac:dyDescent="0.35">
      <c r="A18" s="23"/>
      <c r="B18" s="45"/>
      <c r="C18" s="45"/>
      <c r="D18" s="45"/>
      <c r="E18" s="45"/>
      <c r="F18" s="45"/>
      <c r="G18" s="45"/>
      <c r="H18" s="45"/>
      <c r="I18" s="45"/>
      <c r="J18" s="45"/>
      <c r="K18" s="45"/>
      <c r="M18" s="28"/>
    </row>
    <row r="19" spans="1:13" s="24" customFormat="1" ht="21.75" thickBot="1" x14ac:dyDescent="0.4">
      <c r="A19" s="23"/>
      <c r="B19" s="58" t="s">
        <v>7</v>
      </c>
      <c r="C19" s="58"/>
      <c r="D19" s="58"/>
      <c r="E19" s="58"/>
      <c r="F19" s="58"/>
      <c r="G19" s="58"/>
      <c r="H19" s="58"/>
      <c r="I19" s="58"/>
      <c r="J19" s="58"/>
      <c r="K19" s="58"/>
      <c r="M19" s="28"/>
    </row>
    <row r="20" spans="1:13" s="24" customFormat="1" ht="21.75" thickBot="1" x14ac:dyDescent="0.4">
      <c r="A20" s="23"/>
      <c r="B20" s="46">
        <v>4</v>
      </c>
      <c r="C20" s="59" t="str">
        <f ca="1">IF(ISBLANK(INDIRECT(ADDRESS(B20*2+2,3))),"",INDIRECT(ADDRESS(B20*2+2,3)))</f>
        <v>Гришков</v>
      </c>
      <c r="D20" s="59"/>
      <c r="E20" s="60"/>
      <c r="F20" s="43">
        <v>6</v>
      </c>
      <c r="G20" s="44">
        <v>7</v>
      </c>
      <c r="H20" s="61" t="str">
        <f ca="1">IF(ISBLANK(INDIRECT(ADDRESS(K20*2+2,3))),"",INDIRECT(ADDRESS(K20*2+2,3)))</f>
        <v>Тарасов</v>
      </c>
      <c r="I20" s="59"/>
      <c r="J20" s="59"/>
      <c r="K20" s="46">
        <v>3</v>
      </c>
      <c r="L20" s="27" t="s">
        <v>6</v>
      </c>
      <c r="M20" s="28"/>
    </row>
    <row r="21" spans="1:13" s="24" customFormat="1" ht="21.75" thickBot="1" x14ac:dyDescent="0.4">
      <c r="A21" s="23"/>
      <c r="B21" s="46">
        <v>1</v>
      </c>
      <c r="C21" s="59" t="str">
        <f ca="1">IF(ISBLANK(INDIRECT(ADDRESS(B21*2+2,3))),"",INDIRECT(ADDRESS(B21*2+2,3)))</f>
        <v>Шапкин</v>
      </c>
      <c r="D21" s="59"/>
      <c r="E21" s="60"/>
      <c r="F21" s="43">
        <v>13</v>
      </c>
      <c r="G21" s="44">
        <v>6</v>
      </c>
      <c r="H21" s="61" t="str">
        <f ca="1">IF(ISBLANK(INDIRECT(ADDRESS(K21*2+2,3))),"",INDIRECT(ADDRESS(K21*2+2,3)))</f>
        <v>Агапов</v>
      </c>
      <c r="I21" s="59"/>
      <c r="J21" s="59"/>
      <c r="K21" s="46">
        <v>2</v>
      </c>
      <c r="L21" s="27" t="s">
        <v>6</v>
      </c>
      <c r="M21" s="28"/>
    </row>
    <row r="22" spans="1:13" s="24" customFormat="1" ht="21" x14ac:dyDescent="0.35">
      <c r="A22" s="23"/>
      <c r="B22" s="45"/>
      <c r="C22" s="45"/>
      <c r="D22" s="45"/>
      <c r="E22" s="45"/>
      <c r="F22" s="45"/>
      <c r="G22" s="45"/>
      <c r="H22" s="45"/>
      <c r="I22" s="45"/>
      <c r="J22" s="45"/>
      <c r="K22" s="45"/>
      <c r="M22" s="28"/>
    </row>
    <row r="23" spans="1:13" s="24" customFormat="1" ht="21.75" thickBot="1" x14ac:dyDescent="0.4">
      <c r="A23" s="23"/>
      <c r="B23" s="58" t="s">
        <v>8</v>
      </c>
      <c r="C23" s="58"/>
      <c r="D23" s="58"/>
      <c r="E23" s="58"/>
      <c r="F23" s="58"/>
      <c r="G23" s="58"/>
      <c r="H23" s="58"/>
      <c r="I23" s="58"/>
      <c r="J23" s="58"/>
      <c r="K23" s="58"/>
      <c r="M23" s="28"/>
    </row>
    <row r="24" spans="1:13" s="24" customFormat="1" ht="21.75" thickBot="1" x14ac:dyDescent="0.4">
      <c r="A24" s="23"/>
      <c r="B24" s="46">
        <v>2</v>
      </c>
      <c r="C24" s="59" t="str">
        <f ca="1">IF(ISBLANK(INDIRECT(ADDRESS(B24*2+2,3))),"",INDIRECT(ADDRESS(B24*2+2,3)))</f>
        <v>Агапов</v>
      </c>
      <c r="D24" s="59"/>
      <c r="E24" s="60"/>
      <c r="F24" s="43">
        <v>7</v>
      </c>
      <c r="G24" s="44">
        <v>11</v>
      </c>
      <c r="H24" s="61" t="str">
        <f ca="1">IF(ISBLANK(INDIRECT(ADDRESS(K24*2+2,3))),"",INDIRECT(ADDRESS(K24*2+2,3)))</f>
        <v>Гришков</v>
      </c>
      <c r="I24" s="59"/>
      <c r="J24" s="59"/>
      <c r="K24" s="46">
        <v>4</v>
      </c>
      <c r="L24" s="27" t="s">
        <v>6</v>
      </c>
      <c r="M24" s="28"/>
    </row>
    <row r="25" spans="1:13" s="24" customFormat="1" ht="21.75" thickBot="1" x14ac:dyDescent="0.4">
      <c r="A25" s="23"/>
      <c r="B25" s="46">
        <v>3</v>
      </c>
      <c r="C25" s="59" t="str">
        <f ca="1">IF(ISBLANK(INDIRECT(ADDRESS(B25*2+2,3))),"",INDIRECT(ADDRESS(B25*2+2,3)))</f>
        <v>Тарасов</v>
      </c>
      <c r="D25" s="59"/>
      <c r="E25" s="60"/>
      <c r="F25" s="43">
        <v>9</v>
      </c>
      <c r="G25" s="44">
        <v>3</v>
      </c>
      <c r="H25" s="61" t="str">
        <f ca="1">IF(ISBLANK(INDIRECT(ADDRESS(K25*2+2,3))),"",INDIRECT(ADDRESS(K25*2+2,3)))</f>
        <v>Шапкин</v>
      </c>
      <c r="I25" s="59"/>
      <c r="J25" s="59"/>
      <c r="K25" s="42">
        <v>1</v>
      </c>
      <c r="L25" s="27" t="s">
        <v>6</v>
      </c>
      <c r="M25" s="28"/>
    </row>
    <row r="27" spans="1:13" s="24" customFormat="1" ht="21.75" thickBot="1" x14ac:dyDescent="0.4">
      <c r="A27" s="23"/>
      <c r="B27" s="62" t="s">
        <v>15</v>
      </c>
      <c r="C27" s="62"/>
      <c r="D27" s="62"/>
      <c r="E27" s="62"/>
      <c r="F27" s="62"/>
      <c r="G27" s="62"/>
      <c r="H27" s="62"/>
      <c r="I27" s="62"/>
      <c r="J27" s="62"/>
      <c r="K27" s="62"/>
      <c r="M27" s="28"/>
    </row>
    <row r="28" spans="1:13" s="24" customFormat="1" ht="21.75" thickBot="1" x14ac:dyDescent="0.4">
      <c r="A28" s="23"/>
      <c r="B28" s="46" t="s">
        <v>17</v>
      </c>
      <c r="C28" s="59" t="s">
        <v>36</v>
      </c>
      <c r="D28" s="59"/>
      <c r="E28" s="60"/>
      <c r="F28" s="43">
        <v>4</v>
      </c>
      <c r="G28" s="44">
        <v>11</v>
      </c>
      <c r="H28" s="61" t="s">
        <v>38</v>
      </c>
      <c r="I28" s="59"/>
      <c r="J28" s="59"/>
      <c r="K28" s="46" t="s">
        <v>18</v>
      </c>
      <c r="L28" s="27" t="s">
        <v>6</v>
      </c>
      <c r="M28" s="28"/>
    </row>
    <row r="29" spans="1:13" s="24" customFormat="1" ht="21.75" thickBot="1" x14ac:dyDescent="0.4">
      <c r="A29" s="23"/>
      <c r="B29" s="46" t="s">
        <v>19</v>
      </c>
      <c r="C29" s="59" t="s">
        <v>35</v>
      </c>
      <c r="D29" s="59"/>
      <c r="E29" s="60"/>
      <c r="F29" s="43">
        <v>5</v>
      </c>
      <c r="G29" s="44">
        <v>6</v>
      </c>
      <c r="H29" s="61" t="s">
        <v>39</v>
      </c>
      <c r="I29" s="59"/>
      <c r="J29" s="59"/>
      <c r="K29" s="46" t="s">
        <v>20</v>
      </c>
      <c r="L29" s="27" t="s">
        <v>6</v>
      </c>
      <c r="M29" s="28"/>
    </row>
    <row r="30" spans="1:13" s="24" customFormat="1" ht="21" x14ac:dyDescent="0.35">
      <c r="A30" s="23"/>
      <c r="B30" s="45"/>
      <c r="C30" s="45"/>
      <c r="D30" s="45"/>
      <c r="E30" s="45"/>
      <c r="F30" s="45"/>
      <c r="G30" s="45"/>
      <c r="H30" s="45"/>
      <c r="I30" s="45"/>
      <c r="J30" s="45"/>
      <c r="K30" s="45"/>
      <c r="M30" s="28"/>
    </row>
    <row r="31" spans="1:13" s="24" customFormat="1" ht="21.75" thickBot="1" x14ac:dyDescent="0.4">
      <c r="A31" s="23"/>
      <c r="B31" s="58" t="s">
        <v>16</v>
      </c>
      <c r="C31" s="58"/>
      <c r="D31" s="58"/>
      <c r="E31" s="58"/>
      <c r="F31" s="58"/>
      <c r="G31" s="58"/>
      <c r="H31" s="58"/>
      <c r="I31" s="58"/>
      <c r="J31" s="58"/>
      <c r="K31" s="58"/>
      <c r="M31" s="28"/>
    </row>
    <row r="32" spans="1:13" s="24" customFormat="1" ht="21.75" thickBot="1" x14ac:dyDescent="0.4">
      <c r="A32" s="23"/>
      <c r="B32" s="46" t="s">
        <v>17</v>
      </c>
      <c r="C32" s="59" t="s">
        <v>36</v>
      </c>
      <c r="D32" s="59"/>
      <c r="E32" s="60"/>
      <c r="F32" s="43">
        <v>9</v>
      </c>
      <c r="G32" s="44">
        <v>10</v>
      </c>
      <c r="H32" s="61" t="s">
        <v>39</v>
      </c>
      <c r="I32" s="59"/>
      <c r="J32" s="59"/>
      <c r="K32" s="46" t="s">
        <v>20</v>
      </c>
      <c r="L32" s="27" t="s">
        <v>6</v>
      </c>
      <c r="M32" s="28"/>
    </row>
    <row r="33" spans="1:13" s="24" customFormat="1" ht="21.75" thickBot="1" x14ac:dyDescent="0.4">
      <c r="A33" s="23"/>
      <c r="B33" s="46" t="s">
        <v>19</v>
      </c>
      <c r="C33" s="59" t="s">
        <v>35</v>
      </c>
      <c r="D33" s="59"/>
      <c r="E33" s="60"/>
      <c r="F33" s="43">
        <v>2</v>
      </c>
      <c r="G33" s="44">
        <v>13</v>
      </c>
      <c r="H33" s="61" t="s">
        <v>38</v>
      </c>
      <c r="I33" s="59"/>
      <c r="J33" s="59"/>
      <c r="K33" s="46" t="s">
        <v>18</v>
      </c>
      <c r="L33" s="27" t="s">
        <v>6</v>
      </c>
      <c r="M33" s="28"/>
    </row>
  </sheetData>
  <mergeCells count="51">
    <mergeCell ref="L4:L5"/>
    <mergeCell ref="B1:K1"/>
    <mergeCell ref="C3:E3"/>
    <mergeCell ref="B4:B5"/>
    <mergeCell ref="C4:E5"/>
    <mergeCell ref="J4:J5"/>
    <mergeCell ref="L10:L11"/>
    <mergeCell ref="B15:K15"/>
    <mergeCell ref="C16:E16"/>
    <mergeCell ref="H16:J16"/>
    <mergeCell ref="B6:B7"/>
    <mergeCell ref="C6:E7"/>
    <mergeCell ref="J6:J7"/>
    <mergeCell ref="L6:L7"/>
    <mergeCell ref="B8:B9"/>
    <mergeCell ref="C8:E9"/>
    <mergeCell ref="J8:J9"/>
    <mergeCell ref="L8:L9"/>
    <mergeCell ref="C21:E21"/>
    <mergeCell ref="H21:J21"/>
    <mergeCell ref="B10:B11"/>
    <mergeCell ref="C10:E11"/>
    <mergeCell ref="J10:J11"/>
    <mergeCell ref="C17:E17"/>
    <mergeCell ref="H17:J17"/>
    <mergeCell ref="B19:K19"/>
    <mergeCell ref="C20:E20"/>
    <mergeCell ref="H20:J20"/>
    <mergeCell ref="B23:K23"/>
    <mergeCell ref="C24:E24"/>
    <mergeCell ref="H24:J24"/>
    <mergeCell ref="C25:E25"/>
    <mergeCell ref="H25:J25"/>
    <mergeCell ref="B27:K27"/>
    <mergeCell ref="C28:E28"/>
    <mergeCell ref="H28:J28"/>
    <mergeCell ref="C29:E29"/>
    <mergeCell ref="H29:J29"/>
    <mergeCell ref="B31:K31"/>
    <mergeCell ref="C32:E32"/>
    <mergeCell ref="H32:J32"/>
    <mergeCell ref="C33:E33"/>
    <mergeCell ref="H33:J33"/>
    <mergeCell ref="M10:M11"/>
    <mergeCell ref="N10:N11"/>
    <mergeCell ref="M4:M5"/>
    <mergeCell ref="N4:N5"/>
    <mergeCell ref="M6:M7"/>
    <mergeCell ref="N6:N7"/>
    <mergeCell ref="M8:M9"/>
    <mergeCell ref="N8:N9"/>
  </mergeCells>
  <pageMargins left="0.25" right="0.25" top="0.75" bottom="0.75" header="0.3" footer="0.3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3"/>
  <sheetViews>
    <sheetView workbookViewId="0">
      <selection activeCell="N20" sqref="N20"/>
    </sheetView>
  </sheetViews>
  <sheetFormatPr defaultRowHeight="15" x14ac:dyDescent="0.25"/>
  <cols>
    <col min="1" max="1" width="4" style="1" customWidth="1"/>
    <col min="2" max="15" width="10.28515625" customWidth="1"/>
  </cols>
  <sheetData>
    <row r="1" spans="1:14" ht="31.5" x14ac:dyDescent="0.25">
      <c r="B1" s="77" t="s">
        <v>31</v>
      </c>
      <c r="C1" s="77"/>
      <c r="D1" s="77"/>
      <c r="E1" s="77"/>
      <c r="F1" s="77"/>
      <c r="G1" s="77"/>
      <c r="H1" s="77"/>
      <c r="I1" s="77"/>
      <c r="J1" s="77"/>
      <c r="K1" s="77"/>
    </row>
    <row r="2" spans="1:14" ht="15.75" thickBot="1" x14ac:dyDescent="0.3"/>
    <row r="3" spans="1:14" ht="15.75" thickBot="1" x14ac:dyDescent="0.3">
      <c r="B3" s="2"/>
      <c r="C3" s="78" t="s">
        <v>0</v>
      </c>
      <c r="D3" s="79"/>
      <c r="E3" s="80"/>
      <c r="F3" s="3">
        <v>1</v>
      </c>
      <c r="G3" s="3">
        <v>2</v>
      </c>
      <c r="H3" s="4">
        <v>3</v>
      </c>
      <c r="I3" s="4">
        <v>4</v>
      </c>
      <c r="J3" s="2" t="s">
        <v>1</v>
      </c>
      <c r="K3" s="3" t="s">
        <v>2</v>
      </c>
      <c r="L3" s="5" t="s">
        <v>3</v>
      </c>
      <c r="M3" s="5" t="s">
        <v>22</v>
      </c>
      <c r="N3" s="5" t="s">
        <v>3</v>
      </c>
    </row>
    <row r="4" spans="1:14" ht="21" x14ac:dyDescent="0.25">
      <c r="B4" s="81">
        <v>1</v>
      </c>
      <c r="C4" s="82" t="s">
        <v>40</v>
      </c>
      <c r="D4" s="83"/>
      <c r="E4" s="84"/>
      <c r="F4" s="6" t="s">
        <v>4</v>
      </c>
      <c r="G4" s="7" t="str">
        <f ca="1">INDIRECT(ADDRESS(21,6))&amp;":"&amp;INDIRECT(ADDRESS(21,7))</f>
        <v>13:0</v>
      </c>
      <c r="H4" s="7" t="str">
        <f ca="1">INDIRECT(ADDRESS(25,7))&amp;":"&amp;INDIRECT(ADDRESS(25,6))</f>
        <v>8:7</v>
      </c>
      <c r="I4" s="8" t="str">
        <f ca="1">INDIRECT(ADDRESS(16,6))&amp;":"&amp;INDIRECT(ADDRESS(16,7))</f>
        <v>13:0</v>
      </c>
      <c r="J4" s="85">
        <f ca="1">IF(COUNT(F5:I5)=0,"",COUNTIF(F5:I5,"&gt;0")+0.5*COUNTIF(F5:I5,0))</f>
        <v>3</v>
      </c>
      <c r="K4" s="9"/>
      <c r="L4" s="57">
        <v>1</v>
      </c>
      <c r="M4" s="57">
        <v>1</v>
      </c>
      <c r="N4" s="57">
        <v>1</v>
      </c>
    </row>
    <row r="5" spans="1:14" ht="21" x14ac:dyDescent="0.25">
      <c r="B5" s="73"/>
      <c r="C5" s="74"/>
      <c r="D5" s="75"/>
      <c r="E5" s="76"/>
      <c r="F5" s="10" t="s">
        <v>4</v>
      </c>
      <c r="G5" s="11">
        <f ca="1">IF(LEN(INDIRECT(ADDRESS(ROW()-1, COLUMN())))=1,"",INDIRECT(ADDRESS(21,6))-INDIRECT(ADDRESS(21,7)))</f>
        <v>13</v>
      </c>
      <c r="H5" s="11">
        <f ca="1">IF(LEN(INDIRECT(ADDRESS(ROW()-1, COLUMN())))=1,"",INDIRECT(ADDRESS(25,7))-INDIRECT(ADDRESS(25,6)))</f>
        <v>1</v>
      </c>
      <c r="I5" s="12">
        <f ca="1">IF(LEN(INDIRECT(ADDRESS(ROW()-1, COLUMN())))=1,"",INDIRECT(ADDRESS(16,6))-INDIRECT(ADDRESS(16,7)))</f>
        <v>13</v>
      </c>
      <c r="J5" s="71"/>
      <c r="K5" s="11">
        <f ca="1">IF(COUNT(F5:I5)=0,"",SUM(F5:I5))</f>
        <v>27</v>
      </c>
      <c r="L5" s="55"/>
      <c r="M5" s="55"/>
      <c r="N5" s="55"/>
    </row>
    <row r="6" spans="1:14" ht="21" x14ac:dyDescent="0.25">
      <c r="B6" s="63">
        <v>2</v>
      </c>
      <c r="C6" s="65" t="s">
        <v>41</v>
      </c>
      <c r="D6" s="66"/>
      <c r="E6" s="67"/>
      <c r="F6" s="13" t="str">
        <f ca="1">INDIRECT(ADDRESS(21,7))&amp;":"&amp;INDIRECT(ADDRESS(21,6))</f>
        <v>0:13</v>
      </c>
      <c r="G6" s="14" t="s">
        <v>4</v>
      </c>
      <c r="H6" s="15" t="str">
        <f ca="1">INDIRECT(ADDRESS(17,6))&amp;":"&amp;INDIRECT(ADDRESS(17,7))</f>
        <v>5:7</v>
      </c>
      <c r="I6" s="16" t="str">
        <f ca="1">INDIRECT(ADDRESS(24,6))&amp;":"&amp;INDIRECT(ADDRESS(24,7))</f>
        <v>5:12</v>
      </c>
      <c r="J6" s="71">
        <f ca="1">IF(COUNT(F7:I7)=0,"",COUNTIF(F7:I7,"&gt;0")+0.5*COUNTIF(F7:I7,0))</f>
        <v>0</v>
      </c>
      <c r="K6" s="11"/>
      <c r="L6" s="55">
        <v>4</v>
      </c>
      <c r="M6" s="55">
        <v>1</v>
      </c>
      <c r="N6" s="55">
        <v>4</v>
      </c>
    </row>
    <row r="7" spans="1:14" ht="21" x14ac:dyDescent="0.25">
      <c r="B7" s="73"/>
      <c r="C7" s="65"/>
      <c r="D7" s="66"/>
      <c r="E7" s="67"/>
      <c r="F7" s="17">
        <f ca="1">IF(LEN(INDIRECT(ADDRESS(ROW()-1, COLUMN())))=1,"",INDIRECT(ADDRESS(21,7))-INDIRECT(ADDRESS(21,6)))</f>
        <v>-13</v>
      </c>
      <c r="G7" s="18" t="s">
        <v>4</v>
      </c>
      <c r="H7" s="11">
        <f ca="1">IF(LEN(INDIRECT(ADDRESS(ROW()-1, COLUMN())))=1,"",INDIRECT(ADDRESS(17,6))-INDIRECT(ADDRESS(17,7)))</f>
        <v>-2</v>
      </c>
      <c r="I7" s="12">
        <f ca="1">IF(LEN(INDIRECT(ADDRESS(ROW()-1, COLUMN())))=1,"",INDIRECT(ADDRESS(24,6))-INDIRECT(ADDRESS(24,7)))</f>
        <v>-7</v>
      </c>
      <c r="J7" s="71"/>
      <c r="K7" s="11">
        <f ca="1">IF(COUNT(F7:I7)=0,"",SUM(F7:I7))</f>
        <v>-22</v>
      </c>
      <c r="L7" s="55"/>
      <c r="M7" s="55"/>
      <c r="N7" s="55"/>
    </row>
    <row r="8" spans="1:14" ht="21" x14ac:dyDescent="0.25">
      <c r="B8" s="63">
        <v>3</v>
      </c>
      <c r="C8" s="74" t="s">
        <v>38</v>
      </c>
      <c r="D8" s="75"/>
      <c r="E8" s="76"/>
      <c r="F8" s="13" t="str">
        <f ca="1">INDIRECT(ADDRESS(25,6))&amp;":"&amp;INDIRECT(ADDRESS(25,7))</f>
        <v>7:8</v>
      </c>
      <c r="G8" s="15" t="str">
        <f ca="1">INDIRECT(ADDRESS(17,7))&amp;":"&amp;INDIRECT(ADDRESS(17,6))</f>
        <v>7:5</v>
      </c>
      <c r="H8" s="14" t="s">
        <v>4</v>
      </c>
      <c r="I8" s="16" t="str">
        <f ca="1">INDIRECT(ADDRESS(20,7))&amp;":"&amp;INDIRECT(ADDRESS(20,6))</f>
        <v>13:6</v>
      </c>
      <c r="J8" s="71">
        <f ca="1">IF(COUNT(F9:I9)=0,"",COUNTIF(F9:I9,"&gt;0")+0.5*COUNTIF(F9:I9,0))</f>
        <v>2</v>
      </c>
      <c r="K8" s="11"/>
      <c r="L8" s="55">
        <v>2</v>
      </c>
      <c r="M8" s="55">
        <v>2</v>
      </c>
      <c r="N8" s="55">
        <v>2</v>
      </c>
    </row>
    <row r="9" spans="1:14" ht="21" x14ac:dyDescent="0.25">
      <c r="B9" s="73"/>
      <c r="C9" s="74"/>
      <c r="D9" s="75"/>
      <c r="E9" s="76"/>
      <c r="F9" s="17">
        <f ca="1">IF(LEN(INDIRECT(ADDRESS(ROW()-1, COLUMN())))=1,"",INDIRECT(ADDRESS(25,6))-INDIRECT(ADDRESS(25,7)))</f>
        <v>-1</v>
      </c>
      <c r="G9" s="11">
        <f ca="1">IF(LEN(INDIRECT(ADDRESS(ROW()-1, COLUMN())))=1,"",INDIRECT(ADDRESS(17,7))-INDIRECT(ADDRESS(17,6)))</f>
        <v>2</v>
      </c>
      <c r="H9" s="18" t="s">
        <v>4</v>
      </c>
      <c r="I9" s="12">
        <f ca="1">IF(LEN(INDIRECT(ADDRESS(ROW()-1, COLUMN())))=1,"",INDIRECT(ADDRESS(20,7))-INDIRECT(ADDRESS(20,6)))</f>
        <v>7</v>
      </c>
      <c r="J9" s="71"/>
      <c r="K9" s="11">
        <f ca="1">IF(COUNT(F9:I9)=0,"",SUM(F9:I9))</f>
        <v>8</v>
      </c>
      <c r="L9" s="55"/>
      <c r="M9" s="55"/>
      <c r="N9" s="55"/>
    </row>
    <row r="10" spans="1:14" ht="21" x14ac:dyDescent="0.25">
      <c r="B10" s="63">
        <v>4</v>
      </c>
      <c r="C10" s="89" t="s">
        <v>39</v>
      </c>
      <c r="D10" s="90"/>
      <c r="E10" s="91"/>
      <c r="F10" s="13" t="str">
        <f ca="1">INDIRECT(ADDRESS(16,7))&amp;":"&amp;INDIRECT(ADDRESS(16,6))</f>
        <v>0:13</v>
      </c>
      <c r="G10" s="15" t="str">
        <f ca="1">INDIRECT(ADDRESS(24,7))&amp;":"&amp;INDIRECT(ADDRESS(24,6))</f>
        <v>12:5</v>
      </c>
      <c r="H10" s="15" t="str">
        <f ca="1">INDIRECT(ADDRESS(20,6))&amp;":"&amp;INDIRECT(ADDRESS(20,7))</f>
        <v>6:13</v>
      </c>
      <c r="I10" s="19" t="s">
        <v>4</v>
      </c>
      <c r="J10" s="71">
        <f ca="1">IF(COUNT(F11:I11)=0,"",COUNTIF(F11:I11,"&gt;0")+0.5*COUNTIF(F11:I11,0))</f>
        <v>1</v>
      </c>
      <c r="K10" s="11"/>
      <c r="L10" s="55">
        <v>3</v>
      </c>
      <c r="M10" s="55">
        <v>2</v>
      </c>
      <c r="N10" s="55">
        <v>3</v>
      </c>
    </row>
    <row r="11" spans="1:14" ht="21.75" thickBot="1" x14ac:dyDescent="0.3">
      <c r="B11" s="64"/>
      <c r="C11" s="92"/>
      <c r="D11" s="93"/>
      <c r="E11" s="94"/>
      <c r="F11" s="20">
        <f ca="1">IF(LEN(INDIRECT(ADDRESS(ROW()-1, COLUMN())))=1,"",INDIRECT(ADDRESS(16,7))-INDIRECT(ADDRESS(16,6)))</f>
        <v>-13</v>
      </c>
      <c r="G11" s="21">
        <f ca="1">IF(LEN(INDIRECT(ADDRESS(ROW()-1, COLUMN())))=1,"",INDIRECT(ADDRESS(24,7))-INDIRECT(ADDRESS(24,6)))</f>
        <v>7</v>
      </c>
      <c r="H11" s="21">
        <f ca="1">IF(LEN(INDIRECT(ADDRESS(ROW()-1, COLUMN())))=1,"",INDIRECT(ADDRESS(20,6))-INDIRECT(ADDRESS(20,7)))</f>
        <v>-7</v>
      </c>
      <c r="I11" s="22" t="s">
        <v>4</v>
      </c>
      <c r="J11" s="72"/>
      <c r="K11" s="21">
        <f ca="1">IF(COUNT(F11:I11)=0,"",SUM(F11:I11))</f>
        <v>-13</v>
      </c>
      <c r="L11" s="56"/>
      <c r="M11" s="56"/>
      <c r="N11" s="56"/>
    </row>
    <row r="15" spans="1:14" s="24" customFormat="1" ht="21.75" thickBot="1" x14ac:dyDescent="0.4">
      <c r="A15" s="23"/>
      <c r="B15" s="62" t="s">
        <v>5</v>
      </c>
      <c r="C15" s="62"/>
      <c r="D15" s="62"/>
      <c r="E15" s="62"/>
      <c r="F15" s="62"/>
      <c r="G15" s="62"/>
      <c r="H15" s="62"/>
      <c r="I15" s="62"/>
      <c r="J15" s="62"/>
      <c r="K15" s="62"/>
    </row>
    <row r="16" spans="1:14" s="24" customFormat="1" ht="21.75" thickBot="1" x14ac:dyDescent="0.4">
      <c r="A16" s="23"/>
      <c r="B16" s="46">
        <v>1</v>
      </c>
      <c r="C16" s="86" t="str">
        <f ca="1">IF(ISBLANK(INDIRECT(ADDRESS(B16*2+2,3))),"",INDIRECT(ADDRESS(B16*2+2,3)))</f>
        <v>Тихонов</v>
      </c>
      <c r="D16" s="86"/>
      <c r="E16" s="87"/>
      <c r="F16" s="25">
        <v>13</v>
      </c>
      <c r="G16" s="26">
        <v>0</v>
      </c>
      <c r="H16" s="88" t="str">
        <f ca="1">IF(ISBLANK(INDIRECT(ADDRESS(K16*2+2,3))),"",INDIRECT(ADDRESS(K16*2+2,3)))</f>
        <v>Новиков</v>
      </c>
      <c r="I16" s="86"/>
      <c r="J16" s="86"/>
      <c r="K16" s="46">
        <v>4</v>
      </c>
      <c r="L16" s="27" t="s">
        <v>6</v>
      </c>
      <c r="M16" s="28"/>
    </row>
    <row r="17" spans="1:13" s="24" customFormat="1" ht="21.75" thickBot="1" x14ac:dyDescent="0.4">
      <c r="A17" s="23"/>
      <c r="B17" s="46">
        <v>2</v>
      </c>
      <c r="C17" s="86" t="str">
        <f ca="1">IF(ISBLANK(INDIRECT(ADDRESS(B17*2+2,3))),"",INDIRECT(ADDRESS(B17*2+2,3)))</f>
        <v>Давыдов</v>
      </c>
      <c r="D17" s="86"/>
      <c r="E17" s="87"/>
      <c r="F17" s="25">
        <v>5</v>
      </c>
      <c r="G17" s="26">
        <v>7</v>
      </c>
      <c r="H17" s="88" t="str">
        <f ca="1">IF(ISBLANK(INDIRECT(ADDRESS(K17*2+2,3))),"",INDIRECT(ADDRESS(K17*2+2,3)))</f>
        <v>Хафидо</v>
      </c>
      <c r="I17" s="86"/>
      <c r="J17" s="86"/>
      <c r="K17" s="46">
        <v>3</v>
      </c>
      <c r="L17" s="27" t="s">
        <v>6</v>
      </c>
      <c r="M17" s="28"/>
    </row>
    <row r="18" spans="1:13" s="24" customFormat="1" ht="21" x14ac:dyDescent="0.35">
      <c r="A18" s="23"/>
      <c r="M18" s="28"/>
    </row>
    <row r="19" spans="1:13" s="24" customFormat="1" ht="21.75" thickBot="1" x14ac:dyDescent="0.4">
      <c r="A19" s="23"/>
      <c r="B19" s="62" t="s">
        <v>7</v>
      </c>
      <c r="C19" s="62"/>
      <c r="D19" s="62"/>
      <c r="E19" s="62"/>
      <c r="F19" s="62"/>
      <c r="G19" s="62"/>
      <c r="H19" s="62"/>
      <c r="I19" s="62"/>
      <c r="J19" s="62"/>
      <c r="K19" s="62"/>
      <c r="M19" s="28"/>
    </row>
    <row r="20" spans="1:13" s="24" customFormat="1" ht="21.75" thickBot="1" x14ac:dyDescent="0.4">
      <c r="A20" s="23"/>
      <c r="B20" s="46">
        <v>4</v>
      </c>
      <c r="C20" s="86" t="str">
        <f ca="1">IF(ISBLANK(INDIRECT(ADDRESS(B20*2+2,3))),"",INDIRECT(ADDRESS(B20*2+2,3)))</f>
        <v>Новиков</v>
      </c>
      <c r="D20" s="86"/>
      <c r="E20" s="87"/>
      <c r="F20" s="25">
        <v>6</v>
      </c>
      <c r="G20" s="26">
        <v>13</v>
      </c>
      <c r="H20" s="88" t="str">
        <f ca="1">IF(ISBLANK(INDIRECT(ADDRESS(K20*2+2,3))),"",INDIRECT(ADDRESS(K20*2+2,3)))</f>
        <v>Хафидо</v>
      </c>
      <c r="I20" s="86"/>
      <c r="J20" s="86"/>
      <c r="K20" s="46">
        <v>3</v>
      </c>
      <c r="L20" s="27" t="s">
        <v>6</v>
      </c>
      <c r="M20" s="28"/>
    </row>
    <row r="21" spans="1:13" s="24" customFormat="1" ht="21.75" thickBot="1" x14ac:dyDescent="0.4">
      <c r="A21" s="23"/>
      <c r="B21" s="46">
        <v>1</v>
      </c>
      <c r="C21" s="86" t="str">
        <f ca="1">IF(ISBLANK(INDIRECT(ADDRESS(B21*2+2,3))),"",INDIRECT(ADDRESS(B21*2+2,3)))</f>
        <v>Тихонов</v>
      </c>
      <c r="D21" s="86"/>
      <c r="E21" s="87"/>
      <c r="F21" s="25">
        <v>13</v>
      </c>
      <c r="G21" s="26">
        <v>0</v>
      </c>
      <c r="H21" s="88" t="str">
        <f ca="1">IF(ISBLANK(INDIRECT(ADDRESS(K21*2+2,3))),"",INDIRECT(ADDRESS(K21*2+2,3)))</f>
        <v>Давыдов</v>
      </c>
      <c r="I21" s="86"/>
      <c r="J21" s="86"/>
      <c r="K21" s="46">
        <v>2</v>
      </c>
      <c r="L21" s="27" t="s">
        <v>6</v>
      </c>
      <c r="M21" s="28"/>
    </row>
    <row r="22" spans="1:13" s="24" customFormat="1" ht="21" x14ac:dyDescent="0.35">
      <c r="A22" s="23"/>
      <c r="M22" s="28"/>
    </row>
    <row r="23" spans="1:13" s="24" customFormat="1" ht="21.75" thickBot="1" x14ac:dyDescent="0.4">
      <c r="A23" s="23"/>
      <c r="B23" s="62" t="s">
        <v>8</v>
      </c>
      <c r="C23" s="62"/>
      <c r="D23" s="62"/>
      <c r="E23" s="62"/>
      <c r="F23" s="62"/>
      <c r="G23" s="62"/>
      <c r="H23" s="62"/>
      <c r="I23" s="62"/>
      <c r="J23" s="62"/>
      <c r="K23" s="62"/>
      <c r="M23" s="28"/>
    </row>
    <row r="24" spans="1:13" s="24" customFormat="1" ht="21.75" thickBot="1" x14ac:dyDescent="0.4">
      <c r="A24" s="23"/>
      <c r="B24" s="46">
        <v>2</v>
      </c>
      <c r="C24" s="86" t="str">
        <f ca="1">IF(ISBLANK(INDIRECT(ADDRESS(B24*2+2,3))),"",INDIRECT(ADDRESS(B24*2+2,3)))</f>
        <v>Давыдов</v>
      </c>
      <c r="D24" s="86"/>
      <c r="E24" s="87"/>
      <c r="F24" s="25">
        <v>5</v>
      </c>
      <c r="G24" s="26">
        <v>12</v>
      </c>
      <c r="H24" s="88" t="str">
        <f ca="1">IF(ISBLANK(INDIRECT(ADDRESS(K24*2+2,3))),"",INDIRECT(ADDRESS(K24*2+2,3)))</f>
        <v>Новиков</v>
      </c>
      <c r="I24" s="86"/>
      <c r="J24" s="86"/>
      <c r="K24" s="46">
        <v>4</v>
      </c>
      <c r="L24" s="27" t="s">
        <v>6</v>
      </c>
      <c r="M24" s="28"/>
    </row>
    <row r="25" spans="1:13" s="24" customFormat="1" ht="21.75" thickBot="1" x14ac:dyDescent="0.4">
      <c r="A25" s="23"/>
      <c r="B25" s="46">
        <v>3</v>
      </c>
      <c r="C25" s="86" t="str">
        <f ca="1">IF(ISBLANK(INDIRECT(ADDRESS(B25*2+2,3))),"",INDIRECT(ADDRESS(B25*2+2,3)))</f>
        <v>Хафидо</v>
      </c>
      <c r="D25" s="86"/>
      <c r="E25" s="87"/>
      <c r="F25" s="25">
        <v>7</v>
      </c>
      <c r="G25" s="26">
        <v>8</v>
      </c>
      <c r="H25" s="88" t="str">
        <f ca="1">IF(ISBLANK(INDIRECT(ADDRESS(K25*2+2,3))),"",INDIRECT(ADDRESS(K25*2+2,3)))</f>
        <v>Тихонов</v>
      </c>
      <c r="I25" s="86"/>
      <c r="J25" s="86"/>
      <c r="K25" s="46">
        <v>1</v>
      </c>
      <c r="L25" s="27" t="s">
        <v>6</v>
      </c>
      <c r="M25" s="28"/>
    </row>
    <row r="27" spans="1:13" s="24" customFormat="1" ht="21.75" thickBot="1" x14ac:dyDescent="0.4">
      <c r="A27" s="23"/>
      <c r="B27" s="62" t="s">
        <v>15</v>
      </c>
      <c r="C27" s="62"/>
      <c r="D27" s="62"/>
      <c r="E27" s="62"/>
      <c r="F27" s="62"/>
      <c r="G27" s="62"/>
      <c r="H27" s="62"/>
      <c r="I27" s="62"/>
      <c r="J27" s="62"/>
      <c r="K27" s="62"/>
      <c r="M27" s="28"/>
    </row>
    <row r="28" spans="1:13" s="24" customFormat="1" ht="21.75" thickBot="1" x14ac:dyDescent="0.4">
      <c r="A28" s="23"/>
      <c r="B28" s="46" t="s">
        <v>24</v>
      </c>
      <c r="C28" s="59" t="s">
        <v>40</v>
      </c>
      <c r="D28" s="59"/>
      <c r="E28" s="60"/>
      <c r="F28" s="43">
        <v>3</v>
      </c>
      <c r="G28" s="44">
        <v>11</v>
      </c>
      <c r="H28" s="61" t="s">
        <v>34</v>
      </c>
      <c r="I28" s="59"/>
      <c r="J28" s="59"/>
      <c r="K28" s="46" t="s">
        <v>23</v>
      </c>
      <c r="L28" s="27" t="s">
        <v>6</v>
      </c>
      <c r="M28" s="28"/>
    </row>
    <row r="29" spans="1:13" s="24" customFormat="1" ht="21.75" thickBot="1" x14ac:dyDescent="0.4">
      <c r="A29" s="23"/>
      <c r="B29" s="46" t="s">
        <v>25</v>
      </c>
      <c r="C29" s="59" t="s">
        <v>41</v>
      </c>
      <c r="D29" s="59"/>
      <c r="E29" s="60"/>
      <c r="F29" s="43">
        <v>4</v>
      </c>
      <c r="G29" s="44">
        <v>12</v>
      </c>
      <c r="H29" s="61" t="s">
        <v>37</v>
      </c>
      <c r="I29" s="59"/>
      <c r="J29" s="59"/>
      <c r="K29" s="46" t="s">
        <v>26</v>
      </c>
      <c r="L29" s="27" t="s">
        <v>6</v>
      </c>
      <c r="M29" s="28"/>
    </row>
    <row r="30" spans="1:13" s="24" customFormat="1" ht="21" x14ac:dyDescent="0.35">
      <c r="A30" s="23"/>
      <c r="B30" s="45"/>
      <c r="C30" s="45"/>
      <c r="D30" s="45"/>
      <c r="E30" s="45"/>
      <c r="F30" s="45"/>
      <c r="G30" s="45"/>
      <c r="H30" s="45"/>
      <c r="I30" s="45"/>
      <c r="J30" s="45"/>
      <c r="K30" s="45"/>
      <c r="M30" s="28"/>
    </row>
    <row r="31" spans="1:13" s="24" customFormat="1" ht="21.75" thickBot="1" x14ac:dyDescent="0.4">
      <c r="A31" s="23"/>
      <c r="B31" s="58" t="s">
        <v>16</v>
      </c>
      <c r="C31" s="58"/>
      <c r="D31" s="58"/>
      <c r="E31" s="58"/>
      <c r="F31" s="58"/>
      <c r="G31" s="58"/>
      <c r="H31" s="58"/>
      <c r="I31" s="58"/>
      <c r="J31" s="58"/>
      <c r="K31" s="58"/>
      <c r="M31" s="28"/>
    </row>
    <row r="32" spans="1:13" s="24" customFormat="1" ht="21.75" thickBot="1" x14ac:dyDescent="0.4">
      <c r="A32" s="23"/>
      <c r="B32" s="46" t="s">
        <v>24</v>
      </c>
      <c r="C32" s="59" t="s">
        <v>40</v>
      </c>
      <c r="D32" s="59"/>
      <c r="E32" s="60"/>
      <c r="F32" s="43">
        <v>13</v>
      </c>
      <c r="G32" s="44">
        <v>11</v>
      </c>
      <c r="H32" s="61" t="s">
        <v>37</v>
      </c>
      <c r="I32" s="59"/>
      <c r="J32" s="59"/>
      <c r="K32" s="46" t="s">
        <v>26</v>
      </c>
      <c r="L32" s="27" t="s">
        <v>6</v>
      </c>
      <c r="M32" s="28"/>
    </row>
    <row r="33" spans="1:13" s="24" customFormat="1" ht="21.75" thickBot="1" x14ac:dyDescent="0.4">
      <c r="A33" s="23"/>
      <c r="B33" s="46" t="s">
        <v>25</v>
      </c>
      <c r="C33" s="59" t="s">
        <v>41</v>
      </c>
      <c r="D33" s="59"/>
      <c r="E33" s="60"/>
      <c r="F33" s="43">
        <v>13</v>
      </c>
      <c r="G33" s="44">
        <v>5</v>
      </c>
      <c r="H33" s="61" t="s">
        <v>34</v>
      </c>
      <c r="I33" s="59"/>
      <c r="J33" s="59"/>
      <c r="K33" s="46" t="s">
        <v>23</v>
      </c>
      <c r="L33" s="27" t="s">
        <v>6</v>
      </c>
      <c r="M33" s="28"/>
    </row>
  </sheetData>
  <mergeCells count="51">
    <mergeCell ref="L4:L5"/>
    <mergeCell ref="B1:K1"/>
    <mergeCell ref="C3:E3"/>
    <mergeCell ref="B4:B5"/>
    <mergeCell ref="C4:E5"/>
    <mergeCell ref="J4:J5"/>
    <mergeCell ref="L10:L11"/>
    <mergeCell ref="B15:K15"/>
    <mergeCell ref="C16:E16"/>
    <mergeCell ref="H16:J16"/>
    <mergeCell ref="B6:B7"/>
    <mergeCell ref="C6:E7"/>
    <mergeCell ref="J6:J7"/>
    <mergeCell ref="L6:L7"/>
    <mergeCell ref="B8:B9"/>
    <mergeCell ref="C8:E9"/>
    <mergeCell ref="J8:J9"/>
    <mergeCell ref="L8:L9"/>
    <mergeCell ref="C21:E21"/>
    <mergeCell ref="H21:J21"/>
    <mergeCell ref="B10:B11"/>
    <mergeCell ref="C10:E11"/>
    <mergeCell ref="J10:J11"/>
    <mergeCell ref="C17:E17"/>
    <mergeCell ref="H17:J17"/>
    <mergeCell ref="B19:K19"/>
    <mergeCell ref="C20:E20"/>
    <mergeCell ref="H20:J20"/>
    <mergeCell ref="B23:K23"/>
    <mergeCell ref="C24:E24"/>
    <mergeCell ref="H24:J24"/>
    <mergeCell ref="C25:E25"/>
    <mergeCell ref="H25:J25"/>
    <mergeCell ref="B27:K27"/>
    <mergeCell ref="C28:E28"/>
    <mergeCell ref="H28:J28"/>
    <mergeCell ref="C29:E29"/>
    <mergeCell ref="H29:J29"/>
    <mergeCell ref="B31:K31"/>
    <mergeCell ref="C32:E32"/>
    <mergeCell ref="H32:J32"/>
    <mergeCell ref="C33:E33"/>
    <mergeCell ref="H33:J33"/>
    <mergeCell ref="M10:M11"/>
    <mergeCell ref="N10:N11"/>
    <mergeCell ref="M4:M5"/>
    <mergeCell ref="N4:N5"/>
    <mergeCell ref="M6:M7"/>
    <mergeCell ref="N6:N7"/>
    <mergeCell ref="M8:M9"/>
    <mergeCell ref="N8:N9"/>
  </mergeCells>
  <pageMargins left="0.25" right="0.25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2"/>
  <sheetViews>
    <sheetView workbookViewId="0">
      <selection activeCell="I12" sqref="I12"/>
    </sheetView>
  </sheetViews>
  <sheetFormatPr defaultRowHeight="15" x14ac:dyDescent="0.25"/>
  <cols>
    <col min="1" max="1" width="4" style="1" customWidth="1"/>
    <col min="2" max="15" width="10.28515625" customWidth="1"/>
  </cols>
  <sheetData>
    <row r="1" spans="2:14" ht="38.25" customHeight="1" x14ac:dyDescent="0.25">
      <c r="B1" s="77" t="s">
        <v>32</v>
      </c>
      <c r="C1" s="77"/>
      <c r="D1" s="77"/>
      <c r="E1" s="77"/>
      <c r="F1" s="77"/>
      <c r="G1" s="77"/>
      <c r="H1" s="77"/>
      <c r="I1" s="77"/>
      <c r="J1" s="77"/>
      <c r="K1" s="77"/>
    </row>
    <row r="2" spans="2:14" ht="15.75" thickBot="1" x14ac:dyDescent="0.3"/>
    <row r="3" spans="2:14" ht="30" customHeight="1" thickBot="1" x14ac:dyDescent="0.3">
      <c r="B3" s="2"/>
      <c r="C3" s="78" t="s">
        <v>0</v>
      </c>
      <c r="D3" s="79"/>
      <c r="E3" s="80"/>
      <c r="F3" s="3">
        <v>1</v>
      </c>
      <c r="G3" s="3">
        <v>2</v>
      </c>
      <c r="H3" s="3">
        <v>3</v>
      </c>
      <c r="I3" s="4">
        <v>4</v>
      </c>
      <c r="J3" s="4">
        <v>5</v>
      </c>
      <c r="K3" s="4">
        <v>6</v>
      </c>
      <c r="L3" s="39" t="s">
        <v>1</v>
      </c>
      <c r="M3" s="3" t="s">
        <v>2</v>
      </c>
      <c r="N3" s="40" t="s">
        <v>3</v>
      </c>
    </row>
    <row r="4" spans="2:14" ht="24" customHeight="1" x14ac:dyDescent="0.25">
      <c r="B4" s="81">
        <v>1</v>
      </c>
      <c r="C4" s="82" t="s">
        <v>42</v>
      </c>
      <c r="D4" s="83"/>
      <c r="E4" s="84"/>
      <c r="F4" s="6" t="s">
        <v>4</v>
      </c>
      <c r="G4" s="7" t="str">
        <f ca="1">INDIRECT(ADDRESS(27,6))&amp;":"&amp;INDIRECT(ADDRESS(27,7))</f>
        <v>11:8</v>
      </c>
      <c r="H4" s="7" t="str">
        <f ca="1">INDIRECT(ADDRESS(31,7))&amp;":"&amp;INDIRECT(ADDRESS(31,6))</f>
        <v>10:6</v>
      </c>
      <c r="I4" s="7" t="str">
        <f ca="1">INDIRECT(ADDRESS(36,6))&amp;":"&amp;INDIRECT(ADDRESS(36,7))</f>
        <v>12:11</v>
      </c>
      <c r="J4" s="7" t="str">
        <f ca="1">INDIRECT(ADDRESS(42,7))&amp;":"&amp;INDIRECT(ADDRESS(42,6))</f>
        <v>10:13</v>
      </c>
      <c r="K4" s="8" t="str">
        <f ca="1">INDIRECT(ADDRESS(20,6))&amp;":"&amp;INDIRECT(ADDRESS(20,7))</f>
        <v>13:5</v>
      </c>
      <c r="L4" s="101">
        <f ca="1">IF(COUNT(F5:K5)=0,"",COUNTIF(F5:K5,"&gt;0")+0.5*COUNTIF(F5:K5,0))</f>
        <v>4</v>
      </c>
      <c r="M4" s="9"/>
      <c r="N4" s="100">
        <v>1</v>
      </c>
    </row>
    <row r="5" spans="2:14" ht="24" customHeight="1" x14ac:dyDescent="0.25">
      <c r="B5" s="73"/>
      <c r="C5" s="74"/>
      <c r="D5" s="75"/>
      <c r="E5" s="76"/>
      <c r="F5" s="10" t="s">
        <v>4</v>
      </c>
      <c r="G5" s="11">
        <f ca="1">IF(LEN(INDIRECT(ADDRESS(ROW()-1, COLUMN())))=1,"",INDIRECT(ADDRESS(27,6))-INDIRECT(ADDRESS(27,7)))</f>
        <v>3</v>
      </c>
      <c r="H5" s="11">
        <f ca="1">IF(LEN(INDIRECT(ADDRESS(ROW()-1, COLUMN())))=1,"",INDIRECT(ADDRESS(31,7))-INDIRECT(ADDRESS(31,6)))</f>
        <v>4</v>
      </c>
      <c r="I5" s="11">
        <f ca="1">IF(LEN(INDIRECT(ADDRESS(ROW()-1, COLUMN())))=1,"",INDIRECT(ADDRESS(36,6))-INDIRECT(ADDRESS(36,7)))</f>
        <v>1</v>
      </c>
      <c r="J5" s="11">
        <f ca="1">IF(LEN(INDIRECT(ADDRESS(ROW()-1, COLUMN())))=1,"",INDIRECT(ADDRESS(42,7))-INDIRECT(ADDRESS(42,6)))</f>
        <v>-3</v>
      </c>
      <c r="K5" s="12">
        <f ca="1">IF(LEN(INDIRECT(ADDRESS(ROW()-1, COLUMN())))=1,"",INDIRECT(ADDRESS(20,6))-INDIRECT(ADDRESS(20,7)))</f>
        <v>8</v>
      </c>
      <c r="L5" s="97"/>
      <c r="M5" s="11">
        <f ca="1">IF(COUNT(F5:K5)=0,"",SUM(F5:K5))</f>
        <v>13</v>
      </c>
      <c r="N5" s="96"/>
    </row>
    <row r="6" spans="2:14" ht="24" customHeight="1" x14ac:dyDescent="0.25">
      <c r="B6" s="63">
        <v>2</v>
      </c>
      <c r="C6" s="89" t="s">
        <v>43</v>
      </c>
      <c r="D6" s="90"/>
      <c r="E6" s="91"/>
      <c r="F6" s="13" t="str">
        <f ca="1">INDIRECT(ADDRESS(27,7))&amp;":"&amp;INDIRECT(ADDRESS(27,6))</f>
        <v>8:11</v>
      </c>
      <c r="G6" s="14" t="s">
        <v>4</v>
      </c>
      <c r="H6" s="15" t="str">
        <f ca="1">INDIRECT(ADDRESS(37,6))&amp;":"&amp;INDIRECT(ADDRESS(37,7))</f>
        <v>7:6</v>
      </c>
      <c r="I6" s="15" t="str">
        <f ca="1">INDIRECT(ADDRESS(41,7))&amp;":"&amp;INDIRECT(ADDRESS(41,6))</f>
        <v>2:9</v>
      </c>
      <c r="J6" s="15" t="str">
        <f ca="1">INDIRECT(ADDRESS(21,6))&amp;":"&amp;INDIRECT(ADDRESS(21,7))</f>
        <v>10:9</v>
      </c>
      <c r="K6" s="16" t="str">
        <f ca="1">INDIRECT(ADDRESS(30,6))&amp;":"&amp;INDIRECT(ADDRESS(30,7))</f>
        <v>10:6</v>
      </c>
      <c r="L6" s="97">
        <f ca="1">IF(COUNT(F7:K7)=0,"",COUNTIF(F7:K7,"&gt;0")+0.5*COUNTIF(F7:K7,0))</f>
        <v>3</v>
      </c>
      <c r="M6" s="11"/>
      <c r="N6" s="95">
        <v>3</v>
      </c>
    </row>
    <row r="7" spans="2:14" ht="24" customHeight="1" x14ac:dyDescent="0.25">
      <c r="B7" s="73"/>
      <c r="C7" s="89"/>
      <c r="D7" s="90"/>
      <c r="E7" s="91"/>
      <c r="F7" s="17">
        <f ca="1">IF(LEN(INDIRECT(ADDRESS(ROW()-1, COLUMN())))=1,"",INDIRECT(ADDRESS(27,7))-INDIRECT(ADDRESS(27,6)))</f>
        <v>-3</v>
      </c>
      <c r="G7" s="18" t="s">
        <v>4</v>
      </c>
      <c r="H7" s="11">
        <f ca="1">IF(LEN(INDIRECT(ADDRESS(ROW()-1, COLUMN())))=1,"",INDIRECT(ADDRESS(37,6))-INDIRECT(ADDRESS(37,7)))</f>
        <v>1</v>
      </c>
      <c r="I7" s="11">
        <f ca="1">IF(LEN(INDIRECT(ADDRESS(ROW()-1, COLUMN())))=1,"",INDIRECT(ADDRESS(41,7))-INDIRECT(ADDRESS(41,6)))</f>
        <v>-7</v>
      </c>
      <c r="J7" s="11">
        <f ca="1">IF(LEN(INDIRECT(ADDRESS(ROW()-1, COLUMN())))=1,"",INDIRECT(ADDRESS(21,6))-INDIRECT(ADDRESS(21,7)))</f>
        <v>1</v>
      </c>
      <c r="K7" s="12">
        <f ca="1">IF(LEN(INDIRECT(ADDRESS(ROW()-1, COLUMN())))=1,"",INDIRECT(ADDRESS(30,6))-INDIRECT(ADDRESS(30,7)))</f>
        <v>4</v>
      </c>
      <c r="L7" s="97"/>
      <c r="M7" s="11">
        <f ca="1">IF(COUNT(F7:K7)=0,"",SUM(F7:K7))</f>
        <v>-4</v>
      </c>
      <c r="N7" s="96"/>
    </row>
    <row r="8" spans="2:14" ht="24" customHeight="1" x14ac:dyDescent="0.25">
      <c r="B8" s="63">
        <v>3</v>
      </c>
      <c r="C8" s="65" t="s">
        <v>44</v>
      </c>
      <c r="D8" s="66"/>
      <c r="E8" s="67"/>
      <c r="F8" s="13" t="str">
        <f ca="1">INDIRECT(ADDRESS(31,6))&amp;":"&amp;INDIRECT(ADDRESS(31,7))</f>
        <v>6:10</v>
      </c>
      <c r="G8" s="15" t="str">
        <f ca="1">INDIRECT(ADDRESS(37,7))&amp;":"&amp;INDIRECT(ADDRESS(37,6))</f>
        <v>6:7</v>
      </c>
      <c r="H8" s="14" t="s">
        <v>4</v>
      </c>
      <c r="I8" s="15" t="str">
        <f ca="1">INDIRECT(ADDRESS(22,6))&amp;":"&amp;INDIRECT(ADDRESS(22,7))</f>
        <v>13:1</v>
      </c>
      <c r="J8" s="15" t="str">
        <f ca="1">INDIRECT(ADDRESS(26,7))&amp;":"&amp;INDIRECT(ADDRESS(26,6))</f>
        <v>7:10</v>
      </c>
      <c r="K8" s="16" t="str">
        <f ca="1">INDIRECT(ADDRESS(40,6))&amp;":"&amp;INDIRECT(ADDRESS(40,7))</f>
        <v>13:3</v>
      </c>
      <c r="L8" s="97">
        <f ca="1">IF(COUNT(F9:K9)=0,"",COUNTIF(F9:K9,"&gt;0")+0.5*COUNTIF(F9:K9,0))</f>
        <v>2</v>
      </c>
      <c r="M8" s="11"/>
      <c r="N8" s="95">
        <v>5</v>
      </c>
    </row>
    <row r="9" spans="2:14" ht="24" customHeight="1" x14ac:dyDescent="0.25">
      <c r="B9" s="73"/>
      <c r="C9" s="65"/>
      <c r="D9" s="66"/>
      <c r="E9" s="67"/>
      <c r="F9" s="17">
        <f ca="1">IF(LEN(INDIRECT(ADDRESS(ROW()-1, COLUMN())))=1,"",INDIRECT(ADDRESS(31,6))-INDIRECT(ADDRESS(31,7)))</f>
        <v>-4</v>
      </c>
      <c r="G9" s="11">
        <f ca="1">IF(LEN(INDIRECT(ADDRESS(ROW()-1, COLUMN())))=1,"",INDIRECT(ADDRESS(37,7))-INDIRECT(ADDRESS(37,6)))</f>
        <v>-1</v>
      </c>
      <c r="H9" s="18" t="s">
        <v>4</v>
      </c>
      <c r="I9" s="11">
        <f ca="1">IF(LEN(INDIRECT(ADDRESS(ROW()-1, COLUMN())))=1,"",INDIRECT(ADDRESS(22,6))-INDIRECT(ADDRESS(22,7)))</f>
        <v>12</v>
      </c>
      <c r="J9" s="11">
        <f ca="1">IF(LEN(INDIRECT(ADDRESS(ROW()-1, COLUMN())))=1,"",INDIRECT(ADDRESS(26,7))-INDIRECT(ADDRESS(26,6)))</f>
        <v>-3</v>
      </c>
      <c r="K9" s="12">
        <f ca="1">IF(LEN(INDIRECT(ADDRESS(ROW()-1, COLUMN())))=1,"",INDIRECT(ADDRESS(40,6))-INDIRECT(ADDRESS(40,7)))</f>
        <v>10</v>
      </c>
      <c r="L9" s="97"/>
      <c r="M9" s="11">
        <f ca="1">IF(COUNT(F9:K9)=0,"",SUM(F9:K9))</f>
        <v>14</v>
      </c>
      <c r="N9" s="96"/>
    </row>
    <row r="10" spans="2:14" ht="24" customHeight="1" x14ac:dyDescent="0.25">
      <c r="B10" s="63">
        <v>4</v>
      </c>
      <c r="C10" s="74" t="s">
        <v>45</v>
      </c>
      <c r="D10" s="75"/>
      <c r="E10" s="76"/>
      <c r="F10" s="13" t="str">
        <f ca="1">INDIRECT(ADDRESS(36,7))&amp;":"&amp;INDIRECT(ADDRESS(36,6))</f>
        <v>11:12</v>
      </c>
      <c r="G10" s="15" t="str">
        <f ca="1">INDIRECT(ADDRESS(41,6))&amp;":"&amp;INDIRECT(ADDRESS(41,7))</f>
        <v>9:2</v>
      </c>
      <c r="H10" s="15" t="str">
        <f ca="1">INDIRECT(ADDRESS(22,7))&amp;":"&amp;INDIRECT(ADDRESS(22,6))</f>
        <v>1:13</v>
      </c>
      <c r="I10" s="14" t="s">
        <v>4</v>
      </c>
      <c r="J10" s="15" t="str">
        <f ca="1">INDIRECT(ADDRESS(32,6))&amp;":"&amp;INDIRECT(ADDRESS(32,7))</f>
        <v>11:6</v>
      </c>
      <c r="K10" s="16" t="str">
        <f ca="1">INDIRECT(ADDRESS(25,7))&amp;":"&amp;INDIRECT(ADDRESS(25,6))</f>
        <v>13:1</v>
      </c>
      <c r="L10" s="97">
        <f ca="1">IF(COUNT(F11:K11)=0,"",COUNTIF(F11:K11,"&gt;0")+0.5*COUNTIF(F11:K11,0))</f>
        <v>3</v>
      </c>
      <c r="M10" s="11"/>
      <c r="N10" s="95">
        <v>2</v>
      </c>
    </row>
    <row r="11" spans="2:14" ht="24" customHeight="1" x14ac:dyDescent="0.25">
      <c r="B11" s="73"/>
      <c r="C11" s="74"/>
      <c r="D11" s="75"/>
      <c r="E11" s="76"/>
      <c r="F11" s="17">
        <f ca="1">IF(LEN(INDIRECT(ADDRESS(ROW()-1, COLUMN())))=1,"",INDIRECT(ADDRESS(36,7))-INDIRECT(ADDRESS(36,6)))</f>
        <v>-1</v>
      </c>
      <c r="G11" s="11">
        <f ca="1">IF(LEN(INDIRECT(ADDRESS(ROW()-1, COLUMN())))=1,"",INDIRECT(ADDRESS(41,6))-INDIRECT(ADDRESS(41,7)))</f>
        <v>7</v>
      </c>
      <c r="H11" s="11">
        <f ca="1">IF(LEN(INDIRECT(ADDRESS(ROW()-1, COLUMN())))=1,"",INDIRECT(ADDRESS(22,7))-INDIRECT(ADDRESS(22,6)))</f>
        <v>-12</v>
      </c>
      <c r="I11" s="18" t="s">
        <v>4</v>
      </c>
      <c r="J11" s="11">
        <f ca="1">IF(LEN(INDIRECT(ADDRESS(ROW()-1, COLUMN())))=1,"",INDIRECT(ADDRESS(32,6))-INDIRECT(ADDRESS(32,7)))</f>
        <v>5</v>
      </c>
      <c r="K11" s="12">
        <f ca="1">IF(LEN(INDIRECT(ADDRESS(ROW()-1, COLUMN())))=1,"",INDIRECT(ADDRESS(25,7))-INDIRECT(ADDRESS(25,6)))</f>
        <v>12</v>
      </c>
      <c r="L11" s="97"/>
      <c r="M11" s="11">
        <f ca="1">IF(COUNT(F11:K11)=0,"",SUM(F11:K11))</f>
        <v>11</v>
      </c>
      <c r="N11" s="96"/>
    </row>
    <row r="12" spans="2:14" ht="24" customHeight="1" x14ac:dyDescent="0.25">
      <c r="B12" s="63">
        <v>5</v>
      </c>
      <c r="C12" s="65" t="s">
        <v>46</v>
      </c>
      <c r="D12" s="66"/>
      <c r="E12" s="67"/>
      <c r="F12" s="13" t="str">
        <f ca="1">INDIRECT(ADDRESS(42,6))&amp;":"&amp;INDIRECT(ADDRESS(42,7))</f>
        <v>13:10</v>
      </c>
      <c r="G12" s="15" t="str">
        <f ca="1">INDIRECT(ADDRESS(21,7))&amp;":"&amp;INDIRECT(ADDRESS(21,6))</f>
        <v>9:10</v>
      </c>
      <c r="H12" s="15" t="str">
        <f ca="1">INDIRECT(ADDRESS(26,6))&amp;":"&amp;INDIRECT(ADDRESS(26,7))</f>
        <v>10:7</v>
      </c>
      <c r="I12" s="15" t="str">
        <f ca="1">INDIRECT(ADDRESS(32,7))&amp;":"&amp;INDIRECT(ADDRESS(32,6))</f>
        <v>6:11</v>
      </c>
      <c r="J12" s="14" t="s">
        <v>4</v>
      </c>
      <c r="K12" s="16" t="str">
        <f ca="1">INDIRECT(ADDRESS(35,7))&amp;":"&amp;INDIRECT(ADDRESS(35,6))</f>
        <v>8:7</v>
      </c>
      <c r="L12" s="97">
        <f ca="1">IF(COUNT(F13:K13)=0,"",COUNTIF(F13:K13,"&gt;0")+0.5*COUNTIF(F13:K13,0))</f>
        <v>3</v>
      </c>
      <c r="M12" s="11"/>
      <c r="N12" s="95">
        <v>4</v>
      </c>
    </row>
    <row r="13" spans="2:14" ht="24" customHeight="1" x14ac:dyDescent="0.25">
      <c r="B13" s="73"/>
      <c r="C13" s="65"/>
      <c r="D13" s="66"/>
      <c r="E13" s="67"/>
      <c r="F13" s="17">
        <f ca="1">IF(LEN(INDIRECT(ADDRESS(ROW()-1, COLUMN())))=1,"",INDIRECT(ADDRESS(42,6))-INDIRECT(ADDRESS(42,7)))</f>
        <v>3</v>
      </c>
      <c r="G13" s="11">
        <f ca="1">IF(LEN(INDIRECT(ADDRESS(ROW()-1, COLUMN())))=1,"",INDIRECT(ADDRESS(21,7))-INDIRECT(ADDRESS(21,6)))</f>
        <v>-1</v>
      </c>
      <c r="H13" s="11">
        <f ca="1">IF(LEN(INDIRECT(ADDRESS(ROW()-1, COLUMN())))=1,"",INDIRECT(ADDRESS(26,6))-INDIRECT(ADDRESS(26,7)))</f>
        <v>3</v>
      </c>
      <c r="I13" s="11">
        <f ca="1">IF(LEN(INDIRECT(ADDRESS(ROW()-1, COLUMN())))=1,"",INDIRECT(ADDRESS(32,7))-INDIRECT(ADDRESS(32,6)))</f>
        <v>-5</v>
      </c>
      <c r="J13" s="18" t="s">
        <v>4</v>
      </c>
      <c r="K13" s="12">
        <f ca="1">IF(LEN(INDIRECT(ADDRESS(ROW()-1, COLUMN())))=1,"",INDIRECT(ADDRESS(35,7))-INDIRECT(ADDRESS(35,6)))</f>
        <v>1</v>
      </c>
      <c r="L13" s="97"/>
      <c r="M13" s="11">
        <f ca="1">IF(COUNT(F13:K13)=0,"",SUM(F13:K13))</f>
        <v>1</v>
      </c>
      <c r="N13" s="96"/>
    </row>
    <row r="14" spans="2:14" ht="24" customHeight="1" x14ac:dyDescent="0.25">
      <c r="B14" s="63">
        <v>6</v>
      </c>
      <c r="C14" s="65" t="s">
        <v>47</v>
      </c>
      <c r="D14" s="66"/>
      <c r="E14" s="67"/>
      <c r="F14" s="13" t="str">
        <f ca="1">INDIRECT(ADDRESS(20,7))&amp;":"&amp;INDIRECT(ADDRESS(20,6))</f>
        <v>5:13</v>
      </c>
      <c r="G14" s="15" t="str">
        <f ca="1">INDIRECT(ADDRESS(30,7))&amp;":"&amp;INDIRECT(ADDRESS(30,6))</f>
        <v>6:10</v>
      </c>
      <c r="H14" s="15" t="str">
        <f ca="1">INDIRECT(ADDRESS(40,7))&amp;":"&amp;INDIRECT(ADDRESS(40,6))</f>
        <v>3:13</v>
      </c>
      <c r="I14" s="15" t="str">
        <f ca="1">INDIRECT(ADDRESS(25,6))&amp;":"&amp;INDIRECT(ADDRESS(25,7))</f>
        <v>1:13</v>
      </c>
      <c r="J14" s="15" t="str">
        <f ca="1">INDIRECT(ADDRESS(35,6))&amp;":"&amp;INDIRECT(ADDRESS(35,7))</f>
        <v>7:8</v>
      </c>
      <c r="K14" s="19" t="s">
        <v>4</v>
      </c>
      <c r="L14" s="97">
        <f ca="1">IF(COUNT(F15:K15)=0,"",COUNTIF(F15:K15,"&gt;0")+0.5*COUNTIF(F15:K15,0))</f>
        <v>0</v>
      </c>
      <c r="M14" s="11"/>
      <c r="N14" s="95">
        <v>6</v>
      </c>
    </row>
    <row r="15" spans="2:14" ht="24" customHeight="1" thickBot="1" x14ac:dyDescent="0.3">
      <c r="B15" s="64"/>
      <c r="C15" s="68"/>
      <c r="D15" s="69"/>
      <c r="E15" s="70"/>
      <c r="F15" s="20">
        <f ca="1">IF(LEN(INDIRECT(ADDRESS(ROW()-1, COLUMN())))=1,"",INDIRECT(ADDRESS(20,7))-INDIRECT(ADDRESS(20,6)))</f>
        <v>-8</v>
      </c>
      <c r="G15" s="21">
        <f ca="1">IF(LEN(INDIRECT(ADDRESS(ROW()-1, COLUMN())))=1,"",INDIRECT(ADDRESS(30,7))-INDIRECT(ADDRESS(30,6)))</f>
        <v>-4</v>
      </c>
      <c r="H15" s="21">
        <f ca="1">IF(LEN(INDIRECT(ADDRESS(ROW()-1, COLUMN())))=1,"",INDIRECT(ADDRESS(40,7))-INDIRECT(ADDRESS(40,6)))</f>
        <v>-10</v>
      </c>
      <c r="I15" s="21">
        <f ca="1">IF(LEN(INDIRECT(ADDRESS(ROW()-1, COLUMN())))=1,"",INDIRECT(ADDRESS(25,6))-INDIRECT(ADDRESS(25,7)))</f>
        <v>-12</v>
      </c>
      <c r="J15" s="21">
        <f ca="1">IF(LEN(INDIRECT(ADDRESS(ROW()-1, COLUMN())))=1,"",INDIRECT(ADDRESS(35,6))-INDIRECT(ADDRESS(35,7)))</f>
        <v>-1</v>
      </c>
      <c r="K15" s="22" t="s">
        <v>4</v>
      </c>
      <c r="L15" s="98"/>
      <c r="M15" s="21">
        <f ca="1">IF(COUNT(F15:K15)=0,"",SUM(F15:K15))</f>
        <v>-35</v>
      </c>
      <c r="N15" s="99"/>
    </row>
    <row r="19" spans="1:13" s="24" customFormat="1" ht="30" customHeight="1" thickBot="1" x14ac:dyDescent="0.4">
      <c r="A19" s="23"/>
      <c r="B19" s="62" t="s">
        <v>5</v>
      </c>
      <c r="C19" s="62"/>
      <c r="D19" s="62"/>
      <c r="E19" s="62"/>
      <c r="F19" s="62"/>
      <c r="G19" s="62"/>
      <c r="H19" s="62"/>
      <c r="I19" s="62"/>
      <c r="J19" s="62"/>
      <c r="K19" s="62"/>
    </row>
    <row r="20" spans="1:13" s="24" customFormat="1" ht="30" customHeight="1" thickBot="1" x14ac:dyDescent="0.4">
      <c r="A20" s="23"/>
      <c r="B20" s="46">
        <v>1</v>
      </c>
      <c r="C20" s="59" t="str">
        <f ca="1">IF(ISBLANK(INDIRECT(ADDRESS(B20*2+2,3))),"",INDIRECT(ADDRESS(B20*2+2,3)))</f>
        <v>Каргашин</v>
      </c>
      <c r="D20" s="59"/>
      <c r="E20" s="60"/>
      <c r="F20" s="43">
        <v>13</v>
      </c>
      <c r="G20" s="44">
        <v>5</v>
      </c>
      <c r="H20" s="61" t="str">
        <f ca="1">IF(ISBLANK(INDIRECT(ADDRESS(K20*2+2,3))),"",INDIRECT(ADDRESS(K20*2+2,3)))</f>
        <v>Столяров</v>
      </c>
      <c r="I20" s="59"/>
      <c r="J20" s="59"/>
      <c r="K20" s="46">
        <v>6</v>
      </c>
      <c r="L20" s="27" t="s">
        <v>6</v>
      </c>
      <c r="M20" s="41"/>
    </row>
    <row r="21" spans="1:13" s="24" customFormat="1" ht="30" customHeight="1" thickBot="1" x14ac:dyDescent="0.4">
      <c r="A21" s="23"/>
      <c r="B21" s="46">
        <v>2</v>
      </c>
      <c r="C21" s="59" t="str">
        <f ca="1">IF(ISBLANK(INDIRECT(ADDRESS(B21*2+2,3))),"",INDIRECT(ADDRESS(B21*2+2,3)))</f>
        <v>Савельев</v>
      </c>
      <c r="D21" s="59"/>
      <c r="E21" s="60"/>
      <c r="F21" s="43">
        <v>10</v>
      </c>
      <c r="G21" s="44">
        <v>9</v>
      </c>
      <c r="H21" s="61" t="str">
        <f ca="1">IF(ISBLANK(INDIRECT(ADDRESS(K21*2+2,3))),"",INDIRECT(ADDRESS(K21*2+2,3)))</f>
        <v>Глуховский</v>
      </c>
      <c r="I21" s="59"/>
      <c r="J21" s="59"/>
      <c r="K21" s="46">
        <v>5</v>
      </c>
      <c r="L21" s="27" t="s">
        <v>6</v>
      </c>
      <c r="M21" s="41"/>
    </row>
    <row r="22" spans="1:13" s="24" customFormat="1" ht="30" customHeight="1" thickBot="1" x14ac:dyDescent="0.4">
      <c r="A22" s="23"/>
      <c r="B22" s="46">
        <v>3</v>
      </c>
      <c r="C22" s="59" t="str">
        <f ca="1">IF(ISBLANK(INDIRECT(ADDRESS(B22*2+2,3))),"",INDIRECT(ADDRESS(B22*2+2,3)))</f>
        <v>Вахрушев</v>
      </c>
      <c r="D22" s="59"/>
      <c r="E22" s="60"/>
      <c r="F22" s="43">
        <v>13</v>
      </c>
      <c r="G22" s="44">
        <v>1</v>
      </c>
      <c r="H22" s="61" t="str">
        <f ca="1">IF(ISBLANK(INDIRECT(ADDRESS(K22*2+2,3))),"",INDIRECT(ADDRESS(K22*2+2,3)))</f>
        <v>Филатов</v>
      </c>
      <c r="I22" s="59"/>
      <c r="J22" s="59"/>
      <c r="K22" s="46">
        <v>4</v>
      </c>
      <c r="L22" s="27" t="s">
        <v>6</v>
      </c>
      <c r="M22" s="41"/>
    </row>
    <row r="23" spans="1:13" s="24" customFormat="1" ht="30" customHeight="1" x14ac:dyDescent="0.35">
      <c r="A23" s="23"/>
      <c r="B23" s="45"/>
      <c r="C23" s="45"/>
      <c r="D23" s="45"/>
      <c r="E23" s="45"/>
      <c r="F23" s="45"/>
      <c r="G23" s="45"/>
      <c r="H23" s="45"/>
      <c r="I23" s="45"/>
      <c r="J23" s="45"/>
      <c r="K23" s="45"/>
      <c r="M23" s="28"/>
    </row>
    <row r="24" spans="1:13" s="24" customFormat="1" ht="30" customHeight="1" thickBot="1" x14ac:dyDescent="0.4">
      <c r="A24" s="23"/>
      <c r="B24" s="58" t="s">
        <v>7</v>
      </c>
      <c r="C24" s="58"/>
      <c r="D24" s="58"/>
      <c r="E24" s="58"/>
      <c r="F24" s="58"/>
      <c r="G24" s="58"/>
      <c r="H24" s="58"/>
      <c r="I24" s="58"/>
      <c r="J24" s="58"/>
      <c r="K24" s="58"/>
      <c r="M24" s="28"/>
    </row>
    <row r="25" spans="1:13" s="24" customFormat="1" ht="30" customHeight="1" thickBot="1" x14ac:dyDescent="0.4">
      <c r="A25" s="23"/>
      <c r="B25" s="46">
        <v>6</v>
      </c>
      <c r="C25" s="59" t="str">
        <f ca="1">IF(ISBLANK(INDIRECT(ADDRESS(B25*2+2,3))),"",INDIRECT(ADDRESS(B25*2+2,3)))</f>
        <v>Столяров</v>
      </c>
      <c r="D25" s="59"/>
      <c r="E25" s="60"/>
      <c r="F25" s="43">
        <v>1</v>
      </c>
      <c r="G25" s="44">
        <v>13</v>
      </c>
      <c r="H25" s="61" t="str">
        <f ca="1">IF(ISBLANK(INDIRECT(ADDRESS(K25*2+2,3))),"",INDIRECT(ADDRESS(K25*2+2,3)))</f>
        <v>Филатов</v>
      </c>
      <c r="I25" s="59"/>
      <c r="J25" s="59"/>
      <c r="K25" s="46">
        <v>4</v>
      </c>
      <c r="L25" s="27" t="s">
        <v>6</v>
      </c>
      <c r="M25" s="41"/>
    </row>
    <row r="26" spans="1:13" s="24" customFormat="1" ht="30" customHeight="1" thickBot="1" x14ac:dyDescent="0.4">
      <c r="A26" s="23"/>
      <c r="B26" s="46">
        <v>5</v>
      </c>
      <c r="C26" s="59" t="str">
        <f ca="1">IF(ISBLANK(INDIRECT(ADDRESS(B26*2+2,3))),"",INDIRECT(ADDRESS(B26*2+2,3)))</f>
        <v>Глуховский</v>
      </c>
      <c r="D26" s="59"/>
      <c r="E26" s="60"/>
      <c r="F26" s="43">
        <v>10</v>
      </c>
      <c r="G26" s="44">
        <v>7</v>
      </c>
      <c r="H26" s="61" t="str">
        <f ca="1">IF(ISBLANK(INDIRECT(ADDRESS(K26*2+2,3))),"",INDIRECT(ADDRESS(K26*2+2,3)))</f>
        <v>Вахрушев</v>
      </c>
      <c r="I26" s="59"/>
      <c r="J26" s="59"/>
      <c r="K26" s="46">
        <v>3</v>
      </c>
      <c r="L26" s="27" t="s">
        <v>6</v>
      </c>
      <c r="M26" s="41"/>
    </row>
    <row r="27" spans="1:13" s="24" customFormat="1" ht="30" customHeight="1" thickBot="1" x14ac:dyDescent="0.4">
      <c r="A27" s="23"/>
      <c r="B27" s="46">
        <v>1</v>
      </c>
      <c r="C27" s="59" t="str">
        <f ca="1">IF(ISBLANK(INDIRECT(ADDRESS(B27*2+2,3))),"",INDIRECT(ADDRESS(B27*2+2,3)))</f>
        <v>Каргашин</v>
      </c>
      <c r="D27" s="59"/>
      <c r="E27" s="60"/>
      <c r="F27" s="43">
        <v>11</v>
      </c>
      <c r="G27" s="44">
        <v>8</v>
      </c>
      <c r="H27" s="61" t="str">
        <f ca="1">IF(ISBLANK(INDIRECT(ADDRESS(K27*2+2,3))),"",INDIRECT(ADDRESS(K27*2+2,3)))</f>
        <v>Савельев</v>
      </c>
      <c r="I27" s="59"/>
      <c r="J27" s="59"/>
      <c r="K27" s="46">
        <v>2</v>
      </c>
      <c r="L27" s="27" t="s">
        <v>6</v>
      </c>
      <c r="M27" s="41"/>
    </row>
    <row r="28" spans="1:13" s="24" customFormat="1" ht="30" customHeight="1" x14ac:dyDescent="0.35">
      <c r="A28" s="23"/>
      <c r="B28" s="45"/>
      <c r="C28" s="45"/>
      <c r="D28" s="45"/>
      <c r="E28" s="45"/>
      <c r="F28" s="45"/>
      <c r="G28" s="45"/>
      <c r="H28" s="45"/>
      <c r="I28" s="45"/>
      <c r="J28" s="45"/>
      <c r="K28" s="45"/>
      <c r="M28" s="28"/>
    </row>
    <row r="29" spans="1:13" s="24" customFormat="1" ht="30" customHeight="1" thickBot="1" x14ac:dyDescent="0.4">
      <c r="A29" s="23"/>
      <c r="B29" s="58" t="s">
        <v>8</v>
      </c>
      <c r="C29" s="58"/>
      <c r="D29" s="58"/>
      <c r="E29" s="58"/>
      <c r="F29" s="58"/>
      <c r="G29" s="58"/>
      <c r="H29" s="58"/>
      <c r="I29" s="58"/>
      <c r="J29" s="58"/>
      <c r="K29" s="58"/>
      <c r="M29" s="28"/>
    </row>
    <row r="30" spans="1:13" s="24" customFormat="1" ht="30" customHeight="1" thickBot="1" x14ac:dyDescent="0.4">
      <c r="A30" s="23"/>
      <c r="B30" s="46">
        <v>2</v>
      </c>
      <c r="C30" s="59" t="str">
        <f ca="1">IF(ISBLANK(INDIRECT(ADDRESS(B30*2+2,3))),"",INDIRECT(ADDRESS(B30*2+2,3)))</f>
        <v>Савельев</v>
      </c>
      <c r="D30" s="59"/>
      <c r="E30" s="60"/>
      <c r="F30" s="43">
        <v>10</v>
      </c>
      <c r="G30" s="44">
        <v>6</v>
      </c>
      <c r="H30" s="61" t="str">
        <f ca="1">IF(ISBLANK(INDIRECT(ADDRESS(K30*2+2,3))),"",INDIRECT(ADDRESS(K30*2+2,3)))</f>
        <v>Столяров</v>
      </c>
      <c r="I30" s="59"/>
      <c r="J30" s="59"/>
      <c r="K30" s="46">
        <v>6</v>
      </c>
      <c r="L30" s="27" t="s">
        <v>6</v>
      </c>
      <c r="M30" s="41"/>
    </row>
    <row r="31" spans="1:13" s="24" customFormat="1" ht="30" customHeight="1" thickBot="1" x14ac:dyDescent="0.4">
      <c r="A31" s="23"/>
      <c r="B31" s="46">
        <v>3</v>
      </c>
      <c r="C31" s="59" t="str">
        <f ca="1">IF(ISBLANK(INDIRECT(ADDRESS(B31*2+2,3))),"",INDIRECT(ADDRESS(B31*2+2,3)))</f>
        <v>Вахрушев</v>
      </c>
      <c r="D31" s="59"/>
      <c r="E31" s="60"/>
      <c r="F31" s="43">
        <v>6</v>
      </c>
      <c r="G31" s="44">
        <v>10</v>
      </c>
      <c r="H31" s="61" t="str">
        <f ca="1">IF(ISBLANK(INDIRECT(ADDRESS(K31*2+2,3))),"",INDIRECT(ADDRESS(K31*2+2,3)))</f>
        <v>Каргашин</v>
      </c>
      <c r="I31" s="59"/>
      <c r="J31" s="59"/>
      <c r="K31" s="46">
        <v>1</v>
      </c>
      <c r="L31" s="27" t="s">
        <v>6</v>
      </c>
      <c r="M31" s="41"/>
    </row>
    <row r="32" spans="1:13" s="24" customFormat="1" ht="30" customHeight="1" thickBot="1" x14ac:dyDescent="0.4">
      <c r="A32" s="23"/>
      <c r="B32" s="46">
        <v>4</v>
      </c>
      <c r="C32" s="59" t="str">
        <f ca="1">IF(ISBLANK(INDIRECT(ADDRESS(B32*2+2,3))),"",INDIRECT(ADDRESS(B32*2+2,3)))</f>
        <v>Филатов</v>
      </c>
      <c r="D32" s="59"/>
      <c r="E32" s="60"/>
      <c r="F32" s="43">
        <v>11</v>
      </c>
      <c r="G32" s="44">
        <v>6</v>
      </c>
      <c r="H32" s="61" t="str">
        <f ca="1">IF(ISBLANK(INDIRECT(ADDRESS(K32*2+2,3))),"",INDIRECT(ADDRESS(K32*2+2,3)))</f>
        <v>Глуховский</v>
      </c>
      <c r="I32" s="59"/>
      <c r="J32" s="59"/>
      <c r="K32" s="46">
        <v>5</v>
      </c>
      <c r="L32" s="27" t="s">
        <v>6</v>
      </c>
      <c r="M32" s="41"/>
    </row>
    <row r="33" spans="1:13" s="24" customFormat="1" ht="30" customHeight="1" x14ac:dyDescent="0.35">
      <c r="A33" s="23"/>
      <c r="B33" s="45"/>
      <c r="C33" s="45"/>
      <c r="D33" s="45"/>
      <c r="E33" s="45"/>
      <c r="F33" s="45"/>
      <c r="G33" s="45"/>
      <c r="H33" s="45"/>
      <c r="I33" s="45"/>
      <c r="J33" s="45"/>
      <c r="K33" s="45"/>
      <c r="M33" s="28"/>
    </row>
    <row r="34" spans="1:13" s="24" customFormat="1" ht="30" customHeight="1" thickBot="1" x14ac:dyDescent="0.4">
      <c r="A34" s="23"/>
      <c r="B34" s="58" t="s">
        <v>15</v>
      </c>
      <c r="C34" s="58"/>
      <c r="D34" s="58"/>
      <c r="E34" s="58"/>
      <c r="F34" s="58"/>
      <c r="G34" s="58"/>
      <c r="H34" s="58"/>
      <c r="I34" s="58"/>
      <c r="J34" s="58"/>
      <c r="K34" s="58"/>
      <c r="M34" s="28"/>
    </row>
    <row r="35" spans="1:13" s="24" customFormat="1" ht="30" customHeight="1" thickBot="1" x14ac:dyDescent="0.4">
      <c r="A35" s="23"/>
      <c r="B35" s="46">
        <v>6</v>
      </c>
      <c r="C35" s="59" t="str">
        <f ca="1">IF(ISBLANK(INDIRECT(ADDRESS(B35*2+2,3))),"",INDIRECT(ADDRESS(B35*2+2,3)))</f>
        <v>Столяров</v>
      </c>
      <c r="D35" s="59"/>
      <c r="E35" s="60"/>
      <c r="F35" s="43">
        <v>7</v>
      </c>
      <c r="G35" s="44">
        <v>8</v>
      </c>
      <c r="H35" s="61" t="str">
        <f ca="1">IF(ISBLANK(INDIRECT(ADDRESS(K35*2+2,3))),"",INDIRECT(ADDRESS(K35*2+2,3)))</f>
        <v>Глуховский</v>
      </c>
      <c r="I35" s="59"/>
      <c r="J35" s="59"/>
      <c r="K35" s="46">
        <v>5</v>
      </c>
      <c r="L35" s="27" t="s">
        <v>6</v>
      </c>
      <c r="M35" s="41"/>
    </row>
    <row r="36" spans="1:13" s="24" customFormat="1" ht="30" customHeight="1" thickBot="1" x14ac:dyDescent="0.4">
      <c r="A36" s="23"/>
      <c r="B36" s="46">
        <v>1</v>
      </c>
      <c r="C36" s="59" t="str">
        <f ca="1">IF(ISBLANK(INDIRECT(ADDRESS(B36*2+2,3))),"",INDIRECT(ADDRESS(B36*2+2,3)))</f>
        <v>Каргашин</v>
      </c>
      <c r="D36" s="59"/>
      <c r="E36" s="60"/>
      <c r="F36" s="43">
        <v>12</v>
      </c>
      <c r="G36" s="44">
        <v>11</v>
      </c>
      <c r="H36" s="61" t="str">
        <f ca="1">IF(ISBLANK(INDIRECT(ADDRESS(K36*2+2,3))),"",INDIRECT(ADDRESS(K36*2+2,3)))</f>
        <v>Филатов</v>
      </c>
      <c r="I36" s="59"/>
      <c r="J36" s="59"/>
      <c r="K36" s="46">
        <v>4</v>
      </c>
      <c r="L36" s="27" t="s">
        <v>6</v>
      </c>
      <c r="M36" s="41"/>
    </row>
    <row r="37" spans="1:13" s="24" customFormat="1" ht="30" customHeight="1" thickBot="1" x14ac:dyDescent="0.4">
      <c r="A37" s="23"/>
      <c r="B37" s="46">
        <v>2</v>
      </c>
      <c r="C37" s="59" t="str">
        <f ca="1">IF(ISBLANK(INDIRECT(ADDRESS(B37*2+2,3))),"",INDIRECT(ADDRESS(B37*2+2,3)))</f>
        <v>Савельев</v>
      </c>
      <c r="D37" s="59"/>
      <c r="E37" s="60"/>
      <c r="F37" s="43">
        <v>7</v>
      </c>
      <c r="G37" s="44">
        <v>6</v>
      </c>
      <c r="H37" s="61" t="str">
        <f ca="1">IF(ISBLANK(INDIRECT(ADDRESS(K37*2+2,3))),"",INDIRECT(ADDRESS(K37*2+2,3)))</f>
        <v>Вахрушев</v>
      </c>
      <c r="I37" s="59"/>
      <c r="J37" s="59"/>
      <c r="K37" s="46">
        <v>3</v>
      </c>
      <c r="L37" s="27" t="s">
        <v>6</v>
      </c>
      <c r="M37" s="41"/>
    </row>
    <row r="38" spans="1:13" s="24" customFormat="1" ht="30" customHeight="1" x14ac:dyDescent="0.35">
      <c r="A38" s="23"/>
      <c r="B38" s="45"/>
      <c r="C38" s="45"/>
      <c r="D38" s="45"/>
      <c r="E38" s="45"/>
      <c r="F38" s="45"/>
      <c r="G38" s="45"/>
      <c r="H38" s="45"/>
      <c r="I38" s="45"/>
      <c r="J38" s="45"/>
      <c r="K38" s="45"/>
      <c r="M38" s="28"/>
    </row>
    <row r="39" spans="1:13" s="24" customFormat="1" ht="30" customHeight="1" thickBot="1" x14ac:dyDescent="0.4">
      <c r="A39" s="23"/>
      <c r="B39" s="58" t="s">
        <v>16</v>
      </c>
      <c r="C39" s="58"/>
      <c r="D39" s="58"/>
      <c r="E39" s="58"/>
      <c r="F39" s="58"/>
      <c r="G39" s="58"/>
      <c r="H39" s="58"/>
      <c r="I39" s="58"/>
      <c r="J39" s="58"/>
      <c r="K39" s="58"/>
      <c r="M39" s="28"/>
    </row>
    <row r="40" spans="1:13" s="24" customFormat="1" ht="30" customHeight="1" thickBot="1" x14ac:dyDescent="0.4">
      <c r="A40" s="23"/>
      <c r="B40" s="46">
        <v>3</v>
      </c>
      <c r="C40" s="59" t="str">
        <f ca="1">IF(ISBLANK(INDIRECT(ADDRESS(B40*2+2,3))),"",INDIRECT(ADDRESS(B40*2+2,3)))</f>
        <v>Вахрушев</v>
      </c>
      <c r="D40" s="59"/>
      <c r="E40" s="60"/>
      <c r="F40" s="43">
        <v>13</v>
      </c>
      <c r="G40" s="44">
        <v>3</v>
      </c>
      <c r="H40" s="61" t="str">
        <f ca="1">IF(ISBLANK(INDIRECT(ADDRESS(K40*2+2,3))),"",INDIRECT(ADDRESS(K40*2+2,3)))</f>
        <v>Столяров</v>
      </c>
      <c r="I40" s="59"/>
      <c r="J40" s="59"/>
      <c r="K40" s="46">
        <v>6</v>
      </c>
      <c r="L40" s="27" t="s">
        <v>6</v>
      </c>
      <c r="M40" s="41"/>
    </row>
    <row r="41" spans="1:13" s="24" customFormat="1" ht="30" customHeight="1" thickBot="1" x14ac:dyDescent="0.4">
      <c r="A41" s="23"/>
      <c r="B41" s="46">
        <v>4</v>
      </c>
      <c r="C41" s="59" t="str">
        <f ca="1">IF(ISBLANK(INDIRECT(ADDRESS(B41*2+2,3))),"",INDIRECT(ADDRESS(B41*2+2,3)))</f>
        <v>Филатов</v>
      </c>
      <c r="D41" s="59"/>
      <c r="E41" s="60"/>
      <c r="F41" s="43">
        <v>9</v>
      </c>
      <c r="G41" s="44">
        <v>2</v>
      </c>
      <c r="H41" s="61" t="str">
        <f ca="1">IF(ISBLANK(INDIRECT(ADDRESS(K41*2+2,3))),"",INDIRECT(ADDRESS(K41*2+2,3)))</f>
        <v>Савельев</v>
      </c>
      <c r="I41" s="59"/>
      <c r="J41" s="59"/>
      <c r="K41" s="42">
        <v>2</v>
      </c>
      <c r="L41" s="27" t="s">
        <v>6</v>
      </c>
      <c r="M41" s="41"/>
    </row>
    <row r="42" spans="1:13" s="24" customFormat="1" ht="30" customHeight="1" thickBot="1" x14ac:dyDescent="0.4">
      <c r="A42" s="23"/>
      <c r="B42" s="46">
        <v>5</v>
      </c>
      <c r="C42" s="59" t="str">
        <f ca="1">IF(ISBLANK(INDIRECT(ADDRESS(B42*2+2,3))),"",INDIRECT(ADDRESS(B42*2+2,3)))</f>
        <v>Глуховский</v>
      </c>
      <c r="D42" s="59"/>
      <c r="E42" s="60"/>
      <c r="F42" s="43">
        <v>13</v>
      </c>
      <c r="G42" s="44">
        <v>10</v>
      </c>
      <c r="H42" s="61" t="str">
        <f ca="1">IF(ISBLANK(INDIRECT(ADDRESS(K42*2+2,3))),"",INDIRECT(ADDRESS(K42*2+2,3)))</f>
        <v>Каргашин</v>
      </c>
      <c r="I42" s="59"/>
      <c r="J42" s="59"/>
      <c r="K42" s="46">
        <v>1</v>
      </c>
      <c r="L42" s="27" t="s">
        <v>6</v>
      </c>
      <c r="M42" s="41"/>
    </row>
  </sheetData>
  <mergeCells count="61">
    <mergeCell ref="B1:K1"/>
    <mergeCell ref="C3:E3"/>
    <mergeCell ref="B4:B5"/>
    <mergeCell ref="C4:E5"/>
    <mergeCell ref="L4:L5"/>
    <mergeCell ref="B19:K19"/>
    <mergeCell ref="B6:B7"/>
    <mergeCell ref="C6:E7"/>
    <mergeCell ref="B8:B9"/>
    <mergeCell ref="C8:E9"/>
    <mergeCell ref="C31:E31"/>
    <mergeCell ref="H31:J31"/>
    <mergeCell ref="C22:E22"/>
    <mergeCell ref="H22:J22"/>
    <mergeCell ref="C26:E26"/>
    <mergeCell ref="H26:J26"/>
    <mergeCell ref="C27:E27"/>
    <mergeCell ref="H27:J27"/>
    <mergeCell ref="B29:K29"/>
    <mergeCell ref="C30:E30"/>
    <mergeCell ref="H30:J30"/>
    <mergeCell ref="C25:E25"/>
    <mergeCell ref="H25:J25"/>
    <mergeCell ref="N4:N5"/>
    <mergeCell ref="L6:L7"/>
    <mergeCell ref="N6:N7"/>
    <mergeCell ref="L8:L9"/>
    <mergeCell ref="N8:N9"/>
    <mergeCell ref="N10:N11"/>
    <mergeCell ref="L12:L13"/>
    <mergeCell ref="N12:N13"/>
    <mergeCell ref="B14:B15"/>
    <mergeCell ref="C14:E15"/>
    <mergeCell ref="L14:L15"/>
    <mergeCell ref="N14:N15"/>
    <mergeCell ref="B10:B11"/>
    <mergeCell ref="C10:E11"/>
    <mergeCell ref="B12:B13"/>
    <mergeCell ref="C12:E13"/>
    <mergeCell ref="L10:L11"/>
    <mergeCell ref="C20:E20"/>
    <mergeCell ref="H20:J20"/>
    <mergeCell ref="C21:E21"/>
    <mergeCell ref="H21:J21"/>
    <mergeCell ref="B24:K24"/>
    <mergeCell ref="C32:E32"/>
    <mergeCell ref="H32:J32"/>
    <mergeCell ref="B34:K34"/>
    <mergeCell ref="C36:E36"/>
    <mergeCell ref="H36:J36"/>
    <mergeCell ref="C35:E35"/>
    <mergeCell ref="H35:J35"/>
    <mergeCell ref="C41:E41"/>
    <mergeCell ref="H41:J41"/>
    <mergeCell ref="C42:E42"/>
    <mergeCell ref="H42:J42"/>
    <mergeCell ref="C37:E37"/>
    <mergeCell ref="H37:J37"/>
    <mergeCell ref="B39:K39"/>
    <mergeCell ref="C40:E40"/>
    <mergeCell ref="H40:J40"/>
  </mergeCells>
  <pageMargins left="0.7" right="0.7" top="0.75" bottom="0.75" header="0.3" footer="0.3"/>
  <pageSetup paperSize="9" scale="6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0"/>
  <sheetViews>
    <sheetView tabSelected="1" workbookViewId="0">
      <selection activeCell="K44" sqref="K44"/>
    </sheetView>
  </sheetViews>
  <sheetFormatPr defaultRowHeight="15" x14ac:dyDescent="0.25"/>
  <cols>
    <col min="1" max="1" width="9.140625" style="1"/>
    <col min="2" max="10" width="9.140625" style="29" customWidth="1"/>
    <col min="11" max="11" width="12.85546875" style="29" customWidth="1"/>
    <col min="12" max="15" width="9.140625" style="29" customWidth="1"/>
    <col min="16" max="16384" width="9.140625" style="29"/>
  </cols>
  <sheetData>
    <row r="1" spans="1:13" ht="27" x14ac:dyDescent="0.25">
      <c r="B1" s="54" t="s">
        <v>33</v>
      </c>
      <c r="C1" s="54"/>
      <c r="D1" s="54"/>
      <c r="E1" s="54"/>
      <c r="F1" s="54"/>
      <c r="G1" s="54"/>
      <c r="H1" s="54"/>
      <c r="I1" s="54"/>
      <c r="J1" s="54"/>
      <c r="K1" s="54"/>
    </row>
    <row r="2" spans="1:13" ht="15" customHeight="1" x14ac:dyDescent="0.25">
      <c r="C2" s="30"/>
    </row>
    <row r="3" spans="1:13" ht="15" customHeight="1" x14ac:dyDescent="0.25">
      <c r="C3" s="30"/>
    </row>
    <row r="4" spans="1:13" ht="18.75" x14ac:dyDescent="0.25">
      <c r="A4" s="47" t="s">
        <v>27</v>
      </c>
      <c r="B4" s="48" t="s">
        <v>34</v>
      </c>
      <c r="C4" s="49"/>
      <c r="D4" s="31">
        <v>13</v>
      </c>
      <c r="E4" s="32"/>
    </row>
    <row r="5" spans="1:13" ht="15" customHeight="1" x14ac:dyDescent="0.25">
      <c r="A5" s="47">
        <v>1</v>
      </c>
      <c r="C5" s="30"/>
      <c r="E5" s="33"/>
    </row>
    <row r="6" spans="1:13" ht="18.75" x14ac:dyDescent="0.25">
      <c r="B6" s="34" t="s">
        <v>6</v>
      </c>
      <c r="C6" s="30"/>
      <c r="E6" s="35"/>
      <c r="F6" s="52" t="str">
        <f>IF(ISBLANK(D4),"",IF(D4&gt;D8,B4,B8))</f>
        <v>Шапкин</v>
      </c>
      <c r="G6" s="49"/>
      <c r="H6" s="31">
        <v>11</v>
      </c>
      <c r="I6" s="32"/>
    </row>
    <row r="7" spans="1:13" ht="15" customHeight="1" x14ac:dyDescent="0.25">
      <c r="C7" s="30"/>
      <c r="E7" s="35"/>
      <c r="I7" s="33"/>
    </row>
    <row r="8" spans="1:13" ht="18.75" x14ac:dyDescent="0.25">
      <c r="A8" s="47" t="s">
        <v>29</v>
      </c>
      <c r="B8" s="48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>Новиков</v>
      </c>
      <c r="C8" s="49"/>
      <c r="D8" s="31">
        <v>6</v>
      </c>
      <c r="E8" s="36"/>
      <c r="I8" s="35"/>
    </row>
    <row r="9" spans="1:13" ht="15" customHeight="1" x14ac:dyDescent="0.25">
      <c r="A9" s="47">
        <v>3</v>
      </c>
      <c r="C9" s="30"/>
      <c r="I9" s="35"/>
    </row>
    <row r="10" spans="1:13" ht="18.75" x14ac:dyDescent="0.25">
      <c r="C10" s="30"/>
      <c r="G10" s="34" t="s">
        <v>6</v>
      </c>
      <c r="H10" s="30"/>
      <c r="I10" s="35"/>
      <c r="J10" s="52" t="str">
        <f ca="1">IF(ISBLANK(H6),"",IF(H6&gt;H14,F6,F14))</f>
        <v>Хафидо</v>
      </c>
      <c r="K10" s="48"/>
      <c r="L10" s="31">
        <v>12</v>
      </c>
      <c r="M10" s="32"/>
    </row>
    <row r="11" spans="1:13" ht="15" customHeight="1" x14ac:dyDescent="0.25">
      <c r="C11" s="30"/>
      <c r="I11" s="35"/>
      <c r="M11" s="33"/>
    </row>
    <row r="12" spans="1:13" ht="18.75" x14ac:dyDescent="0.25">
      <c r="A12" s="47" t="s">
        <v>28</v>
      </c>
      <c r="B12" s="48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>Филатов</v>
      </c>
      <c r="C12" s="49"/>
      <c r="D12" s="31">
        <v>0</v>
      </c>
      <c r="E12" s="32"/>
      <c r="I12" s="35"/>
      <c r="M12" s="35"/>
    </row>
    <row r="13" spans="1:13" ht="15" customHeight="1" x14ac:dyDescent="0.25">
      <c r="A13" s="47">
        <v>2</v>
      </c>
      <c r="C13" s="30"/>
      <c r="E13" s="33"/>
      <c r="I13" s="35"/>
      <c r="M13" s="35"/>
    </row>
    <row r="14" spans="1:13" ht="18.75" x14ac:dyDescent="0.25">
      <c r="B14" s="34" t="s">
        <v>6</v>
      </c>
      <c r="C14" s="30"/>
      <c r="E14" s="35"/>
      <c r="F14" s="52" t="str">
        <f ca="1">IF(ISBLANK(D12),"",IF(D12&gt;D16,B12,B16))</f>
        <v>Хафидо</v>
      </c>
      <c r="G14" s="49"/>
      <c r="H14" s="31">
        <v>13</v>
      </c>
      <c r="I14" s="36"/>
      <c r="M14" s="35"/>
    </row>
    <row r="15" spans="1:13" ht="15" customHeight="1" x14ac:dyDescent="0.25">
      <c r="E15" s="35"/>
      <c r="M15" s="35"/>
    </row>
    <row r="16" spans="1:13" ht="18.75" x14ac:dyDescent="0.25">
      <c r="A16" s="47" t="s">
        <v>29</v>
      </c>
      <c r="B16" s="48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>Хафидо</v>
      </c>
      <c r="C16" s="49"/>
      <c r="D16" s="31">
        <v>13</v>
      </c>
      <c r="E16" s="36"/>
      <c r="M16" s="35"/>
    </row>
    <row r="17" spans="1:15" ht="15" customHeight="1" x14ac:dyDescent="0.25">
      <c r="A17" s="47">
        <v>2</v>
      </c>
      <c r="M17" s="35"/>
    </row>
    <row r="18" spans="1:15" ht="18.75" x14ac:dyDescent="0.25">
      <c r="B18" s="34"/>
      <c r="K18" s="34" t="s">
        <v>6</v>
      </c>
      <c r="L18" s="30"/>
      <c r="M18" s="35"/>
      <c r="N18" s="50" t="str">
        <f ca="1">IF(ISBLANK(L10),"",IF(L10&gt;L26,J10,J26))</f>
        <v>Тихонов</v>
      </c>
      <c r="O18" s="51"/>
    </row>
    <row r="19" spans="1:15" ht="15" customHeight="1" x14ac:dyDescent="0.25">
      <c r="M19" s="35"/>
    </row>
    <row r="20" spans="1:15" ht="18.75" x14ac:dyDescent="0.25">
      <c r="A20" s="47" t="s">
        <v>28</v>
      </c>
      <c r="B20" s="48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>Каргашин</v>
      </c>
      <c r="C20" s="49"/>
      <c r="D20" s="31">
        <v>13</v>
      </c>
      <c r="E20" s="32"/>
      <c r="M20" s="35"/>
    </row>
    <row r="21" spans="1:15" ht="15" customHeight="1" x14ac:dyDescent="0.25">
      <c r="A21" s="47">
        <v>1</v>
      </c>
      <c r="E21" s="33"/>
      <c r="M21" s="35"/>
    </row>
    <row r="22" spans="1:15" ht="18.75" x14ac:dyDescent="0.25">
      <c r="B22" s="34" t="s">
        <v>6</v>
      </c>
      <c r="C22" s="30"/>
      <c r="E22" s="35"/>
      <c r="F22" s="52" t="str">
        <f ca="1">IF(ISBLANK(D20),"",IF(D20&gt;D24,B20,B24))</f>
        <v>Каргашин</v>
      </c>
      <c r="G22" s="49"/>
      <c r="H22" s="31">
        <v>11</v>
      </c>
      <c r="I22" s="32"/>
      <c r="M22" s="35"/>
    </row>
    <row r="23" spans="1:15" ht="15" customHeight="1" x14ac:dyDescent="0.25">
      <c r="E23" s="35"/>
      <c r="I23" s="33"/>
      <c r="M23" s="35"/>
    </row>
    <row r="24" spans="1:15" ht="18.75" x14ac:dyDescent="0.25">
      <c r="A24" s="47" t="s">
        <v>27</v>
      </c>
      <c r="B24" s="48" t="s">
        <v>36</v>
      </c>
      <c r="C24" s="49"/>
      <c r="D24" s="31">
        <v>1</v>
      </c>
      <c r="E24" s="36"/>
      <c r="I24" s="35"/>
      <c r="M24" s="35"/>
    </row>
    <row r="25" spans="1:15" ht="15" customHeight="1" x14ac:dyDescent="0.25">
      <c r="A25" s="47">
        <v>2</v>
      </c>
      <c r="I25" s="35"/>
      <c r="M25" s="35"/>
    </row>
    <row r="26" spans="1:15" ht="18.75" x14ac:dyDescent="0.25">
      <c r="G26" s="34" t="s">
        <v>6</v>
      </c>
      <c r="H26" s="30"/>
      <c r="I26" s="35"/>
      <c r="J26" s="52" t="str">
        <f ca="1">IF(ISBLANK(H22),"",IF(H22&gt;H30,F22,F30))</f>
        <v>Тихонов</v>
      </c>
      <c r="K26" s="49"/>
      <c r="L26" s="31">
        <v>13</v>
      </c>
      <c r="M26" s="36"/>
    </row>
    <row r="27" spans="1:15" ht="15" customHeight="1" x14ac:dyDescent="0.25">
      <c r="I27" s="35"/>
    </row>
    <row r="28" spans="1:15" ht="18.75" x14ac:dyDescent="0.25">
      <c r="A28" s="47" t="s">
        <v>29</v>
      </c>
      <c r="B28" s="48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>Тихонов</v>
      </c>
      <c r="C28" s="49"/>
      <c r="D28" s="31">
        <v>13</v>
      </c>
      <c r="E28" s="32"/>
      <c r="I28" s="35"/>
    </row>
    <row r="29" spans="1:15" ht="15" customHeight="1" x14ac:dyDescent="0.25">
      <c r="A29" s="47">
        <v>1</v>
      </c>
      <c r="E29" s="33"/>
      <c r="I29" s="35"/>
    </row>
    <row r="30" spans="1:15" ht="18.75" x14ac:dyDescent="0.25">
      <c r="B30" s="34" t="s">
        <v>6</v>
      </c>
      <c r="C30" s="30"/>
      <c r="E30" s="35"/>
      <c r="F30" s="52" t="str">
        <f ca="1">IF(ISBLANK(D28),"",IF(D28&gt;D32,B28,B32))</f>
        <v>Тихонов</v>
      </c>
      <c r="G30" s="49"/>
      <c r="H30" s="31">
        <v>12</v>
      </c>
      <c r="I30" s="36"/>
    </row>
    <row r="31" spans="1:15" ht="15" customHeight="1" x14ac:dyDescent="0.25">
      <c r="E31" s="35"/>
    </row>
    <row r="32" spans="1:15" ht="18.75" x14ac:dyDescent="0.25">
      <c r="A32" s="47" t="s">
        <v>28</v>
      </c>
      <c r="B32" s="48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>Савельев</v>
      </c>
      <c r="C32" s="49"/>
      <c r="D32" s="31">
        <v>3</v>
      </c>
      <c r="E32" s="36"/>
    </row>
    <row r="33" spans="1:7" x14ac:dyDescent="0.25">
      <c r="A33" s="47">
        <v>3</v>
      </c>
    </row>
    <row r="36" spans="1:7" ht="18.75" x14ac:dyDescent="0.25">
      <c r="B36" s="48" t="str">
        <f>IF(ISBLANK(H6),"",IF(H6&gt;H14,F14,F6))</f>
        <v>Шапкин</v>
      </c>
      <c r="C36" s="49"/>
      <c r="D36" s="31">
        <v>13</v>
      </c>
      <c r="E36" s="32"/>
      <c r="F36" s="53"/>
      <c r="G36" s="53"/>
    </row>
    <row r="37" spans="1:7" ht="15" customHeight="1" x14ac:dyDescent="0.25">
      <c r="E37" s="33"/>
    </row>
    <row r="38" spans="1:7" ht="18.75" x14ac:dyDescent="0.25">
      <c r="C38" s="34" t="s">
        <v>6</v>
      </c>
      <c r="E38" s="35"/>
      <c r="F38" s="52" t="str">
        <f>IF(ISBLANK(D36),"",IF(D36&gt;D40,B36,B40))</f>
        <v>Шапкин</v>
      </c>
      <c r="G38" s="48"/>
    </row>
    <row r="39" spans="1:7" ht="15" customHeight="1" x14ac:dyDescent="0.25">
      <c r="E39" s="35"/>
    </row>
    <row r="40" spans="1:7" ht="18.75" x14ac:dyDescent="0.25">
      <c r="B40" s="48" t="str">
        <f ca="1">IF(ISBLANK(H22),"",IF(H22&gt;H30,F30,F22))</f>
        <v>Каргашин</v>
      </c>
      <c r="C40" s="49"/>
      <c r="D40" s="31">
        <v>11</v>
      </c>
      <c r="E40" s="36"/>
    </row>
  </sheetData>
  <mergeCells count="20">
    <mergeCell ref="F14:G14"/>
    <mergeCell ref="B16:C16"/>
    <mergeCell ref="B1:K1"/>
    <mergeCell ref="B4:C4"/>
    <mergeCell ref="F6:G6"/>
    <mergeCell ref="B8:C8"/>
    <mergeCell ref="J10:K10"/>
    <mergeCell ref="B12:C12"/>
    <mergeCell ref="B40:C40"/>
    <mergeCell ref="N18:O18"/>
    <mergeCell ref="B20:C20"/>
    <mergeCell ref="F22:G22"/>
    <mergeCell ref="B24:C24"/>
    <mergeCell ref="J26:K26"/>
    <mergeCell ref="B28:C28"/>
    <mergeCell ref="F30:G30"/>
    <mergeCell ref="B32:C32"/>
    <mergeCell ref="B36:C36"/>
    <mergeCell ref="F36:G36"/>
    <mergeCell ref="F38:G38"/>
  </mergeCells>
  <pageMargins left="0.7" right="0.7" top="0.75" bottom="0.7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Регистрация</vt:lpstr>
      <vt:lpstr>A</vt:lpstr>
      <vt:lpstr>B</vt:lpstr>
      <vt:lpstr>C</vt:lpstr>
      <vt:lpstr>Кубок А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 Дмитрий</dc:creator>
  <cp:lastModifiedBy>wolf_cs@mail.ru</cp:lastModifiedBy>
  <cp:lastPrinted>2026-07-18T20:09:16Z</cp:lastPrinted>
  <dcterms:created xsi:type="dcterms:W3CDTF">2022-02-04T08:05:14Z</dcterms:created>
  <dcterms:modified xsi:type="dcterms:W3CDTF">2026-07-21T20:48:52Z</dcterms:modified>
</cp:coreProperties>
</file>