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Людмила\Боулспорт\Гран-При 2025\1-2 этапы Георгиевск\"/>
    </mc:Choice>
  </mc:AlternateContent>
  <bookViews>
    <workbookView xWindow="0" yWindow="0" windowWidth="19200" windowHeight="8145"/>
  </bookViews>
  <sheets>
    <sheet name="Мужчины группа А" sheetId="41" r:id="rId1"/>
    <sheet name="Мужчины группа В" sheetId="34" r:id="rId2"/>
    <sheet name="Мужчины кубок А" sheetId="46" r:id="rId3"/>
    <sheet name="Мужчины кубок В" sheetId="47" r:id="rId4"/>
    <sheet name="Итоги ГП России ОРТ муж" sheetId="50" r:id="rId5"/>
    <sheet name="Женщины группа А" sheetId="43" r:id="rId6"/>
    <sheet name="Женщины группа В" sheetId="42" r:id="rId7"/>
    <sheet name="Женщины группа С" sheetId="16" r:id="rId8"/>
    <sheet name="Женщины Кубок А" sheetId="48" r:id="rId9"/>
    <sheet name="Женщины Кубок В" sheetId="49" r:id="rId10"/>
    <sheet name="Итоги ГП России ОРТ жен" sheetId="51" r:id="rId11"/>
    <sheet name="Чемпионат ВФБ мужчины" sheetId="52" r:id="rId12"/>
    <sheet name="Итоги ГП России чемпионат ВФБ м" sheetId="53" r:id="rId13"/>
    <sheet name="Женщины Чемпионат ВФБ" sheetId="54" r:id="rId14"/>
    <sheet name="Итоги ГП России чемпионат ВФБ ж" sheetId="55" r:id="rId15"/>
    <sheet name="Служебный лист" sheetId="4" state="hidden" r:id="rId16"/>
  </sheets>
  <calcPr calcId="162913"/>
</workbook>
</file>

<file path=xl/calcChain.xml><?xml version="1.0" encoding="utf-8"?>
<calcChain xmlns="http://schemas.openxmlformats.org/spreadsheetml/2006/main">
  <c r="B24" i="49" l="1"/>
  <c r="F22" i="49"/>
  <c r="B20" i="49"/>
  <c r="F14" i="49"/>
  <c r="J10" i="49"/>
  <c r="F6" i="49"/>
  <c r="B40" i="48"/>
  <c r="F38" i="48"/>
  <c r="B36" i="48"/>
  <c r="F30" i="48"/>
  <c r="J26" i="48"/>
  <c r="F22" i="48"/>
  <c r="N18" i="48"/>
  <c r="F14" i="48"/>
  <c r="J10" i="48"/>
  <c r="F6" i="48"/>
  <c r="B24" i="47"/>
  <c r="B20" i="47"/>
  <c r="F22" i="47" s="1"/>
  <c r="F14" i="47"/>
  <c r="J10" i="47" s="1"/>
  <c r="F6" i="47"/>
  <c r="B24" i="46"/>
  <c r="F22" i="46"/>
  <c r="B20" i="46"/>
  <c r="F14" i="46"/>
  <c r="J10" i="46"/>
  <c r="F6" i="46"/>
  <c r="L18" i="54"/>
  <c r="L19" i="54" s="1"/>
  <c r="J18" i="54"/>
  <c r="J19" i="54" s="1"/>
  <c r="H18" i="54"/>
  <c r="H19" i="54" s="1"/>
  <c r="F18" i="54"/>
  <c r="F19" i="54" s="1"/>
  <c r="K16" i="54"/>
  <c r="K17" i="54" s="1"/>
  <c r="I16" i="54"/>
  <c r="I17" i="54" s="1"/>
  <c r="G16" i="54"/>
  <c r="G17" i="54" s="1"/>
  <c r="M14" i="54"/>
  <c r="M15" i="54" s="1"/>
  <c r="J14" i="54"/>
  <c r="J15" i="54" s="1"/>
  <c r="H14" i="54"/>
  <c r="H15" i="54" s="1"/>
  <c r="F14" i="54"/>
  <c r="F15" i="54" s="1"/>
  <c r="L12" i="54"/>
  <c r="L13" i="54" s="1"/>
  <c r="I12" i="54"/>
  <c r="I13" i="54" s="1"/>
  <c r="G12" i="54"/>
  <c r="G13" i="54" s="1"/>
  <c r="M10" i="54"/>
  <c r="M11" i="54" s="1"/>
  <c r="K10" i="54"/>
  <c r="K11" i="54" s="1"/>
  <c r="H10" i="54"/>
  <c r="H11" i="54" s="1"/>
  <c r="F10" i="54"/>
  <c r="F11" i="54" s="1"/>
  <c r="L8" i="54"/>
  <c r="L9" i="54" s="1"/>
  <c r="J8" i="54"/>
  <c r="J9" i="54" s="1"/>
  <c r="G8" i="54"/>
  <c r="G9" i="54" s="1"/>
  <c r="M6" i="54"/>
  <c r="M7" i="54" s="1"/>
  <c r="K6" i="54"/>
  <c r="K7" i="54" s="1"/>
  <c r="I6" i="54"/>
  <c r="I7" i="54" s="1"/>
  <c r="F6" i="54"/>
  <c r="F7" i="54" s="1"/>
  <c r="L4" i="54"/>
  <c r="L5" i="54" s="1"/>
  <c r="J4" i="54"/>
  <c r="J5" i="54" s="1"/>
  <c r="H4" i="54"/>
  <c r="H5" i="54" s="1"/>
  <c r="H63" i="54"/>
  <c r="H61" i="54"/>
  <c r="H56" i="54"/>
  <c r="H54" i="54"/>
  <c r="H51" i="54"/>
  <c r="H50" i="54"/>
  <c r="H45" i="54"/>
  <c r="H43" i="54"/>
  <c r="H38" i="54"/>
  <c r="H37" i="54"/>
  <c r="H32" i="54"/>
  <c r="H30" i="54"/>
  <c r="H27" i="54"/>
  <c r="H25" i="54"/>
  <c r="I18" i="54"/>
  <c r="I19" i="54" s="1"/>
  <c r="J16" i="54"/>
  <c r="J17" i="54" s="1"/>
  <c r="F16" i="54"/>
  <c r="F17" i="54" s="1"/>
  <c r="L14" i="54"/>
  <c r="L15" i="54" s="1"/>
  <c r="G14" i="54"/>
  <c r="G15" i="54" s="1"/>
  <c r="M12" i="54"/>
  <c r="M13" i="54" s="1"/>
  <c r="H12" i="54"/>
  <c r="H13" i="54" s="1"/>
  <c r="J10" i="54"/>
  <c r="J11" i="54" s="1"/>
  <c r="K8" i="54"/>
  <c r="K9" i="54" s="1"/>
  <c r="F8" i="54"/>
  <c r="F9" i="54" s="1"/>
  <c r="L6" i="54"/>
  <c r="L7" i="54" s="1"/>
  <c r="H6" i="54"/>
  <c r="H7" i="54" s="1"/>
  <c r="M4" i="54"/>
  <c r="M5" i="54" s="1"/>
  <c r="I4" i="54"/>
  <c r="I5" i="54" s="1"/>
  <c r="H24" i="54"/>
  <c r="K18" i="54"/>
  <c r="K19" i="54" s="1"/>
  <c r="G18" i="54"/>
  <c r="G19" i="54" s="1"/>
  <c r="M16" i="54"/>
  <c r="M17" i="54" s="1"/>
  <c r="H16" i="54"/>
  <c r="H17" i="54" s="1"/>
  <c r="I14" i="54"/>
  <c r="I15" i="54" s="1"/>
  <c r="K12" i="54"/>
  <c r="K13" i="54" s="1"/>
  <c r="F12" i="54"/>
  <c r="F13" i="54" s="1"/>
  <c r="L10" i="54"/>
  <c r="L11" i="54" s="1"/>
  <c r="G10" i="54"/>
  <c r="G11" i="54" s="1"/>
  <c r="M8" i="54"/>
  <c r="M9" i="54" s="1"/>
  <c r="I8" i="54"/>
  <c r="I9" i="54" s="1"/>
  <c r="J6" i="54"/>
  <c r="J7" i="54" s="1"/>
  <c r="K4" i="54"/>
  <c r="K5" i="54" s="1"/>
  <c r="G4" i="54"/>
  <c r="G5" i="54" s="1"/>
  <c r="K16" i="52"/>
  <c r="I16" i="52"/>
  <c r="G16" i="52"/>
  <c r="J14" i="52"/>
  <c r="H14" i="52"/>
  <c r="F14" i="52"/>
  <c r="L12" i="52"/>
  <c r="I12" i="52"/>
  <c r="G12" i="52"/>
  <c r="K10" i="52"/>
  <c r="H10" i="52"/>
  <c r="F10" i="52"/>
  <c r="L8" i="52"/>
  <c r="J8" i="52"/>
  <c r="G8" i="52"/>
  <c r="K6" i="52"/>
  <c r="I6" i="52"/>
  <c r="F6" i="52"/>
  <c r="L4" i="52"/>
  <c r="J4" i="52"/>
  <c r="H4" i="52"/>
  <c r="C54" i="52"/>
  <c r="C52" i="52"/>
  <c r="C49" i="52"/>
  <c r="C47" i="52"/>
  <c r="C43" i="52"/>
  <c r="C38" i="52"/>
  <c r="C37" i="52"/>
  <c r="C34" i="52"/>
  <c r="C32" i="52"/>
  <c r="C29" i="52"/>
  <c r="C28" i="52"/>
  <c r="C23" i="52"/>
  <c r="K17" i="52"/>
  <c r="I17" i="52"/>
  <c r="G17" i="52"/>
  <c r="J16" i="52"/>
  <c r="J17" i="52" s="1"/>
  <c r="H16" i="52"/>
  <c r="H17" i="52" s="1"/>
  <c r="F16" i="52"/>
  <c r="F17" i="52" s="1"/>
  <c r="J15" i="52"/>
  <c r="H15" i="52"/>
  <c r="F15" i="52"/>
  <c r="L14" i="52"/>
  <c r="L15" i="52" s="1"/>
  <c r="I14" i="52"/>
  <c r="I15" i="52" s="1"/>
  <c r="G14" i="52"/>
  <c r="G15" i="52" s="1"/>
  <c r="L13" i="52"/>
  <c r="I13" i="52"/>
  <c r="G13" i="52"/>
  <c r="K12" i="52"/>
  <c r="K13" i="52" s="1"/>
  <c r="H12" i="52"/>
  <c r="H13" i="52" s="1"/>
  <c r="F12" i="52"/>
  <c r="F13" i="52" s="1"/>
  <c r="K11" i="52"/>
  <c r="H11" i="52"/>
  <c r="F11" i="52"/>
  <c r="L10" i="52"/>
  <c r="L11" i="52" s="1"/>
  <c r="J10" i="52"/>
  <c r="J11" i="52" s="1"/>
  <c r="G10" i="52"/>
  <c r="G11" i="52" s="1"/>
  <c r="L9" i="52"/>
  <c r="J9" i="52"/>
  <c r="G9" i="52"/>
  <c r="K8" i="52"/>
  <c r="K9" i="52" s="1"/>
  <c r="I8" i="52"/>
  <c r="I9" i="52" s="1"/>
  <c r="F8" i="52"/>
  <c r="F9" i="52" s="1"/>
  <c r="K7" i="52"/>
  <c r="I7" i="52"/>
  <c r="F7" i="52"/>
  <c r="L6" i="52"/>
  <c r="L7" i="52" s="1"/>
  <c r="J6" i="52"/>
  <c r="J7" i="52" s="1"/>
  <c r="H6" i="52"/>
  <c r="H7" i="52" s="1"/>
  <c r="L5" i="52"/>
  <c r="J5" i="52"/>
  <c r="H5" i="52"/>
  <c r="K4" i="52"/>
  <c r="K5" i="52" s="1"/>
  <c r="I4" i="52"/>
  <c r="I5" i="52" s="1"/>
  <c r="G4" i="52"/>
  <c r="G5" i="52" s="1"/>
  <c r="F16" i="41"/>
  <c r="F16" i="34"/>
  <c r="I12" i="43"/>
  <c r="G12" i="43"/>
  <c r="H10" i="43"/>
  <c r="F10" i="43"/>
  <c r="J8" i="43"/>
  <c r="G8" i="43"/>
  <c r="I6" i="43"/>
  <c r="F6" i="43"/>
  <c r="J4" i="43"/>
  <c r="H4" i="43"/>
  <c r="C35" i="43"/>
  <c r="C30" i="43"/>
  <c r="C26" i="43"/>
  <c r="C23" i="43"/>
  <c r="C22" i="43"/>
  <c r="C19" i="43"/>
  <c r="I13" i="43"/>
  <c r="G13" i="43"/>
  <c r="H12" i="43"/>
  <c r="H13" i="43" s="1"/>
  <c r="F12" i="43"/>
  <c r="F13" i="43" s="1"/>
  <c r="H11" i="43"/>
  <c r="F11" i="43"/>
  <c r="J10" i="43"/>
  <c r="J11" i="43" s="1"/>
  <c r="G10" i="43"/>
  <c r="G11" i="43" s="1"/>
  <c r="J9" i="43"/>
  <c r="G9" i="43"/>
  <c r="I8" i="43"/>
  <c r="I9" i="43" s="1"/>
  <c r="F8" i="43"/>
  <c r="F9" i="43" s="1"/>
  <c r="I7" i="43"/>
  <c r="F7" i="43"/>
  <c r="J6" i="43"/>
  <c r="J7" i="43" s="1"/>
  <c r="H6" i="43"/>
  <c r="H7" i="43" s="1"/>
  <c r="J5" i="43"/>
  <c r="H5" i="43"/>
  <c r="I4" i="43"/>
  <c r="I5" i="43" s="1"/>
  <c r="G4" i="43"/>
  <c r="G5" i="43" s="1"/>
  <c r="I12" i="42"/>
  <c r="G12" i="42"/>
  <c r="H10" i="42"/>
  <c r="F10" i="42"/>
  <c r="J8" i="42"/>
  <c r="G8" i="42"/>
  <c r="I6" i="42"/>
  <c r="F6" i="42"/>
  <c r="J4" i="42"/>
  <c r="H4" i="42"/>
  <c r="C35" i="42"/>
  <c r="C30" i="42"/>
  <c r="C26" i="42"/>
  <c r="C23" i="42"/>
  <c r="C22" i="42"/>
  <c r="C19" i="42"/>
  <c r="I13" i="42"/>
  <c r="G13" i="42"/>
  <c r="H12" i="42"/>
  <c r="H13" i="42" s="1"/>
  <c r="F12" i="42"/>
  <c r="F13" i="42" s="1"/>
  <c r="H11" i="42"/>
  <c r="F11" i="42"/>
  <c r="J10" i="42"/>
  <c r="J11" i="42" s="1"/>
  <c r="G10" i="42"/>
  <c r="G11" i="42" s="1"/>
  <c r="J9" i="42"/>
  <c r="G9" i="42"/>
  <c r="I8" i="42"/>
  <c r="I9" i="42" s="1"/>
  <c r="F8" i="42"/>
  <c r="F9" i="42" s="1"/>
  <c r="I7" i="42"/>
  <c r="F7" i="42"/>
  <c r="J6" i="42"/>
  <c r="J7" i="42" s="1"/>
  <c r="H6" i="42"/>
  <c r="H7" i="42" s="1"/>
  <c r="J5" i="42"/>
  <c r="H5" i="42"/>
  <c r="I4" i="42"/>
  <c r="I5" i="42" s="1"/>
  <c r="G4" i="42"/>
  <c r="G5" i="42" s="1"/>
  <c r="K16" i="41"/>
  <c r="I16" i="41"/>
  <c r="G16" i="41"/>
  <c r="J14" i="41"/>
  <c r="H14" i="41"/>
  <c r="F14" i="41"/>
  <c r="L12" i="41"/>
  <c r="I12" i="41"/>
  <c r="G12" i="41"/>
  <c r="K10" i="41"/>
  <c r="H10" i="41"/>
  <c r="F10" i="41"/>
  <c r="L8" i="41"/>
  <c r="J8" i="41"/>
  <c r="G8" i="41"/>
  <c r="K6" i="41"/>
  <c r="I6" i="41"/>
  <c r="F6" i="41"/>
  <c r="L4" i="41"/>
  <c r="J4" i="41"/>
  <c r="H4" i="41"/>
  <c r="C54" i="41"/>
  <c r="C52" i="41"/>
  <c r="C49" i="41"/>
  <c r="C47" i="41"/>
  <c r="C43" i="41"/>
  <c r="C38" i="41"/>
  <c r="C37" i="41"/>
  <c r="C34" i="41"/>
  <c r="C32" i="41"/>
  <c r="C29" i="41"/>
  <c r="C28" i="41"/>
  <c r="C23" i="41"/>
  <c r="K17" i="41"/>
  <c r="I17" i="41"/>
  <c r="G17" i="41"/>
  <c r="J16" i="41"/>
  <c r="J17" i="41" s="1"/>
  <c r="H16" i="41"/>
  <c r="H17" i="41" s="1"/>
  <c r="F17" i="41"/>
  <c r="J15" i="41"/>
  <c r="H15" i="41"/>
  <c r="F15" i="41"/>
  <c r="L14" i="41"/>
  <c r="L15" i="41" s="1"/>
  <c r="I14" i="41"/>
  <c r="I15" i="41" s="1"/>
  <c r="G14" i="41"/>
  <c r="G15" i="41" s="1"/>
  <c r="L13" i="41"/>
  <c r="I13" i="41"/>
  <c r="G13" i="41"/>
  <c r="K12" i="41"/>
  <c r="K13" i="41" s="1"/>
  <c r="H12" i="41"/>
  <c r="H13" i="41" s="1"/>
  <c r="F12" i="41"/>
  <c r="F13" i="41" s="1"/>
  <c r="K11" i="41"/>
  <c r="H11" i="41"/>
  <c r="F11" i="41"/>
  <c r="L10" i="41"/>
  <c r="L11" i="41" s="1"/>
  <c r="J10" i="41"/>
  <c r="J11" i="41" s="1"/>
  <c r="G10" i="41"/>
  <c r="G11" i="41" s="1"/>
  <c r="L9" i="41"/>
  <c r="J9" i="41"/>
  <c r="G9" i="41"/>
  <c r="K8" i="41"/>
  <c r="K9" i="41" s="1"/>
  <c r="I8" i="41"/>
  <c r="I9" i="41" s="1"/>
  <c r="F8" i="41"/>
  <c r="F9" i="41" s="1"/>
  <c r="K7" i="41"/>
  <c r="I7" i="41"/>
  <c r="F7" i="41"/>
  <c r="L6" i="41"/>
  <c r="L7" i="41" s="1"/>
  <c r="J6" i="41"/>
  <c r="J7" i="41" s="1"/>
  <c r="H6" i="41"/>
  <c r="H7" i="41" s="1"/>
  <c r="L5" i="41"/>
  <c r="J5" i="41"/>
  <c r="H5" i="41"/>
  <c r="K4" i="41"/>
  <c r="K5" i="41" s="1"/>
  <c r="I4" i="41"/>
  <c r="I5" i="41" s="1"/>
  <c r="G4" i="41"/>
  <c r="G5" i="41" s="1"/>
  <c r="H22" i="41"/>
  <c r="H33" i="41"/>
  <c r="H44" i="41"/>
  <c r="H24" i="41"/>
  <c r="H37" i="41"/>
  <c r="H48" i="41"/>
  <c r="H28" i="41"/>
  <c r="H39" i="41"/>
  <c r="H52" i="41"/>
  <c r="H32" i="41"/>
  <c r="H43" i="41"/>
  <c r="H54" i="41"/>
  <c r="C27" i="41"/>
  <c r="C44" i="41"/>
  <c r="C53" i="41"/>
  <c r="H23" i="41"/>
  <c r="H34" i="41"/>
  <c r="H47" i="41"/>
  <c r="C24" i="41"/>
  <c r="C33" i="41"/>
  <c r="C42" i="41"/>
  <c r="H27" i="41"/>
  <c r="H38" i="41"/>
  <c r="H49" i="41"/>
  <c r="C22" i="41"/>
  <c r="C39" i="41"/>
  <c r="C48" i="41"/>
  <c r="H29" i="41"/>
  <c r="H42" i="41"/>
  <c r="H53" i="41"/>
  <c r="H18" i="42"/>
  <c r="H27" i="42"/>
  <c r="H22" i="42"/>
  <c r="H31" i="42"/>
  <c r="H26" i="42"/>
  <c r="H35" i="42"/>
  <c r="C27" i="42"/>
  <c r="C34" i="42"/>
  <c r="H19" i="42"/>
  <c r="H30" i="42"/>
  <c r="C18" i="42"/>
  <c r="C31" i="42"/>
  <c r="H23" i="42"/>
  <c r="H34" i="42"/>
  <c r="H18" i="43"/>
  <c r="H27" i="43"/>
  <c r="H22" i="43"/>
  <c r="H31" i="43"/>
  <c r="H26" i="43"/>
  <c r="H35" i="43"/>
  <c r="C27" i="43"/>
  <c r="C34" i="43"/>
  <c r="H19" i="43"/>
  <c r="H30" i="43"/>
  <c r="C18" i="43"/>
  <c r="C31" i="43"/>
  <c r="H23" i="43"/>
  <c r="H34" i="43"/>
  <c r="H22" i="52"/>
  <c r="H33" i="52"/>
  <c r="H44" i="52"/>
  <c r="H24" i="52"/>
  <c r="H37" i="52"/>
  <c r="H48" i="52"/>
  <c r="H28" i="52"/>
  <c r="H39" i="52"/>
  <c r="H52" i="52"/>
  <c r="H32" i="52"/>
  <c r="H43" i="52"/>
  <c r="H54" i="52"/>
  <c r="C27" i="52"/>
  <c r="C44" i="52"/>
  <c r="C53" i="52"/>
  <c r="H23" i="52"/>
  <c r="H34" i="52"/>
  <c r="H47" i="52"/>
  <c r="C24" i="52"/>
  <c r="C33" i="52"/>
  <c r="C42" i="52"/>
  <c r="H27" i="52"/>
  <c r="H38" i="52"/>
  <c r="H49" i="52"/>
  <c r="C22" i="52"/>
  <c r="C39" i="52"/>
  <c r="C48" i="52"/>
  <c r="H29" i="52"/>
  <c r="H42" i="52"/>
  <c r="H53" i="52"/>
  <c r="C32" i="54"/>
  <c r="C43" i="54"/>
  <c r="C63" i="54"/>
  <c r="C39" i="54"/>
  <c r="C50" i="54"/>
  <c r="C61" i="54"/>
  <c r="C26" i="54"/>
  <c r="C37" i="54"/>
  <c r="C48" i="54"/>
  <c r="C57" i="54"/>
  <c r="C24" i="54"/>
  <c r="C33" i="54"/>
  <c r="C44" i="54"/>
  <c r="C55" i="54"/>
  <c r="H36" i="54"/>
  <c r="H48" i="54"/>
  <c r="H60" i="54"/>
  <c r="C30" i="54"/>
  <c r="C42" i="54"/>
  <c r="C54" i="54"/>
  <c r="H31" i="54"/>
  <c r="H44" i="54"/>
  <c r="H57" i="54"/>
  <c r="C27" i="54"/>
  <c r="C38" i="54"/>
  <c r="C49" i="54"/>
  <c r="C60" i="54"/>
  <c r="H26" i="54"/>
  <c r="H39" i="54"/>
  <c r="H42" i="54"/>
  <c r="H55" i="54"/>
  <c r="C31" i="54"/>
  <c r="C51" i="54"/>
  <c r="C62" i="54"/>
  <c r="H33" i="54"/>
  <c r="H49" i="54"/>
  <c r="H62" i="54"/>
  <c r="C25" i="54"/>
  <c r="C36" i="54"/>
  <c r="C45" i="54"/>
  <c r="C56" i="54"/>
  <c r="N4" i="54" l="1"/>
  <c r="N12" i="54"/>
  <c r="N8" i="54"/>
  <c r="N16" i="54"/>
  <c r="N6" i="54"/>
  <c r="N10" i="54"/>
  <c r="N14" i="54"/>
  <c r="N18" i="54"/>
  <c r="M4" i="52"/>
  <c r="M6" i="52"/>
  <c r="M8" i="52"/>
  <c r="M10" i="52"/>
  <c r="M12" i="52"/>
  <c r="M14" i="52"/>
  <c r="M16" i="52"/>
  <c r="L13" i="42"/>
  <c r="L11" i="43"/>
  <c r="L9" i="42"/>
  <c r="N15" i="41"/>
  <c r="K4" i="43"/>
  <c r="K6" i="43"/>
  <c r="K8" i="43"/>
  <c r="K10" i="43"/>
  <c r="K12" i="43"/>
  <c r="K4" i="42"/>
  <c r="K6" i="42"/>
  <c r="K8" i="42"/>
  <c r="K10" i="42"/>
  <c r="K12" i="42"/>
  <c r="M4" i="41"/>
  <c r="M6" i="41"/>
  <c r="M8" i="41"/>
  <c r="M10" i="41"/>
  <c r="M12" i="41"/>
  <c r="M14" i="41"/>
  <c r="M16" i="41"/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O8" i="4" s="1"/>
  <c r="E8" i="4"/>
  <c r="F8" i="4"/>
  <c r="G8" i="4"/>
  <c r="H8" i="4"/>
  <c r="S8" i="4" s="1"/>
  <c r="H1" i="4"/>
  <c r="H2" i="4"/>
  <c r="H3" i="4"/>
  <c r="H4" i="4"/>
  <c r="AB4" i="4" s="1"/>
  <c r="H5" i="4"/>
  <c r="H6" i="4"/>
  <c r="H7" i="4"/>
  <c r="O25" i="4"/>
  <c r="S25" i="4"/>
  <c r="S26" i="4"/>
  <c r="O26" i="4"/>
  <c r="AB17" i="4"/>
  <c r="AB18" i="4"/>
  <c r="S7" i="4" l="1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A6" i="4" l="1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AB26" i="4"/>
  <c r="P26" i="4"/>
  <c r="L26" i="4"/>
  <c r="R20" i="4"/>
  <c r="Y26" i="4"/>
  <c r="AA11" i="4"/>
  <c r="AB21" i="4"/>
  <c r="AB24" i="4"/>
  <c r="R18" i="4"/>
  <c r="AA19" i="4"/>
  <c r="K6" i="34"/>
  <c r="AA13" i="4"/>
  <c r="U25" i="4"/>
  <c r="AB25" i="4"/>
  <c r="X26" i="4"/>
  <c r="R21" i="4"/>
  <c r="S22" i="4"/>
  <c r="F14" i="34"/>
  <c r="S11" i="4"/>
  <c r="AA14" i="4"/>
  <c r="R23" i="4"/>
  <c r="V23" i="4"/>
  <c r="C43" i="34"/>
  <c r="K4" i="34"/>
  <c r="G10" i="34"/>
  <c r="P25" i="4"/>
  <c r="AA26" i="4"/>
  <c r="K7" i="34"/>
  <c r="R11" i="4"/>
  <c r="V25" i="4"/>
  <c r="W26" i="4"/>
  <c r="H4" i="34"/>
  <c r="I8" i="34"/>
  <c r="U23" i="4"/>
  <c r="L6" i="34"/>
  <c r="S16" i="4"/>
  <c r="F8" i="34"/>
  <c r="S13" i="4"/>
  <c r="I4" i="34"/>
  <c r="M24" i="4"/>
  <c r="G4" i="34"/>
  <c r="H12" i="34"/>
  <c r="R24" i="4"/>
  <c r="V24" i="4"/>
  <c r="AA16" i="4"/>
  <c r="AA25" i="4"/>
  <c r="S14" i="4"/>
  <c r="J8" i="34"/>
  <c r="Z23" i="4"/>
  <c r="K12" i="34"/>
  <c r="J6" i="34"/>
  <c r="I16" i="34"/>
  <c r="R26" i="4"/>
  <c r="L12" i="34"/>
  <c r="AB12" i="4"/>
  <c r="W23" i="4"/>
  <c r="Z26" i="4"/>
  <c r="G12" i="34"/>
  <c r="Z24" i="4"/>
  <c r="AB23" i="4"/>
  <c r="K16" i="34"/>
  <c r="N24" i="4"/>
  <c r="AB16" i="4"/>
  <c r="X25" i="4"/>
  <c r="R12" i="4"/>
  <c r="F17" i="34"/>
  <c r="R13" i="4"/>
  <c r="F12" i="34"/>
  <c r="H28" i="34"/>
  <c r="F6" i="34"/>
  <c r="R25" i="4"/>
  <c r="S18" i="4"/>
  <c r="AB13" i="4"/>
  <c r="S23" i="4"/>
  <c r="H6" i="34"/>
  <c r="U26" i="4"/>
  <c r="L25" i="4"/>
  <c r="R17" i="4"/>
  <c r="R16" i="4"/>
  <c r="H48" i="34"/>
  <c r="Q25" i="4"/>
  <c r="S21" i="4"/>
  <c r="J14" i="34"/>
  <c r="W25" i="4"/>
  <c r="AA21" i="4"/>
  <c r="C27" i="34"/>
  <c r="C34" i="34"/>
  <c r="O24" i="4"/>
  <c r="AA12" i="4"/>
  <c r="S19" i="4"/>
  <c r="R15" i="4"/>
  <c r="G11" i="34"/>
  <c r="I12" i="34"/>
  <c r="AB20" i="4"/>
  <c r="S15" i="4"/>
  <c r="F10" i="34"/>
  <c r="Y23" i="4"/>
  <c r="AB22" i="4"/>
  <c r="I6" i="34"/>
  <c r="R19" i="4"/>
  <c r="X23" i="4"/>
  <c r="Y24" i="4"/>
  <c r="Z25" i="4"/>
  <c r="O23" i="4"/>
  <c r="I5" i="34"/>
  <c r="S20" i="4"/>
  <c r="AA15" i="4"/>
  <c r="W24" i="4"/>
  <c r="C47" i="34"/>
  <c r="J4" i="34"/>
  <c r="S24" i="4"/>
  <c r="H42" i="34"/>
  <c r="H14" i="34"/>
  <c r="M26" i="4"/>
  <c r="P24" i="4"/>
  <c r="Q26" i="4"/>
  <c r="G8" i="34"/>
  <c r="N25" i="4"/>
  <c r="F9" i="34"/>
  <c r="H24" i="34"/>
  <c r="C39" i="34"/>
  <c r="H29" i="34"/>
  <c r="H37" i="34"/>
  <c r="AB15" i="4"/>
  <c r="K13" i="34"/>
  <c r="X24" i="4"/>
  <c r="C23" i="34"/>
  <c r="C53" i="34"/>
  <c r="G16" i="34"/>
  <c r="N23" i="4"/>
  <c r="S12" i="4"/>
  <c r="N26" i="4"/>
  <c r="AA18" i="4"/>
  <c r="AB11" i="4"/>
  <c r="H32" i="34"/>
  <c r="C48" i="34"/>
  <c r="K5" i="34"/>
  <c r="H52" i="34"/>
  <c r="C44" i="34"/>
  <c r="AA24" i="4"/>
  <c r="G14" i="34"/>
  <c r="L23" i="4"/>
  <c r="F11" i="34"/>
  <c r="Q24" i="4"/>
  <c r="J16" i="34"/>
  <c r="R14" i="4"/>
  <c r="H13" i="34"/>
  <c r="H54" i="34"/>
  <c r="L8" i="34"/>
  <c r="AA17" i="4"/>
  <c r="C24" i="34"/>
  <c r="M23" i="4"/>
  <c r="P23" i="4"/>
  <c r="J10" i="34"/>
  <c r="M25" i="4"/>
  <c r="L14" i="34"/>
  <c r="H7" i="34"/>
  <c r="R22" i="4"/>
  <c r="H49" i="34"/>
  <c r="H53" i="34"/>
  <c r="H34" i="34"/>
  <c r="C38" i="34"/>
  <c r="H16" i="34"/>
  <c r="G5" i="34"/>
  <c r="C52" i="34"/>
  <c r="C32" i="34"/>
  <c r="H23" i="34"/>
  <c r="C33" i="34"/>
  <c r="C42" i="34"/>
  <c r="H38" i="34"/>
  <c r="S17" i="4"/>
  <c r="J9" i="34"/>
  <c r="Y25" i="4"/>
  <c r="L4" i="34"/>
  <c r="U24" i="4"/>
  <c r="H43" i="34"/>
  <c r="V26" i="4"/>
  <c r="H10" i="34"/>
  <c r="AB19" i="4"/>
  <c r="K10" i="34"/>
  <c r="H39" i="34"/>
  <c r="I14" i="34"/>
  <c r="L24" i="4"/>
  <c r="Q23" i="4"/>
  <c r="K8" i="34"/>
  <c r="AA22" i="4"/>
  <c r="K11" i="34"/>
  <c r="AA20" i="4"/>
  <c r="H15" i="34"/>
  <c r="C49" i="34"/>
  <c r="H47" i="34"/>
  <c r="L10" i="34"/>
  <c r="AB14" i="4"/>
  <c r="K17" i="34"/>
  <c r="AA23" i="4"/>
  <c r="H22" i="34"/>
  <c r="H27" i="34"/>
  <c r="C54" i="34"/>
  <c r="H17" i="34"/>
  <c r="L9" i="34"/>
  <c r="J5" i="34"/>
  <c r="I9" i="34"/>
  <c r="G9" i="34"/>
  <c r="L11" i="34"/>
  <c r="J17" i="34"/>
  <c r="J7" i="34"/>
  <c r="H5" i="34"/>
  <c r="L7" i="34"/>
  <c r="I17" i="34"/>
  <c r="J11" i="34"/>
  <c r="K9" i="34"/>
  <c r="G13" i="34"/>
  <c r="C22" i="34"/>
  <c r="F15" i="34"/>
  <c r="I7" i="34"/>
  <c r="I15" i="34"/>
  <c r="L13" i="34"/>
  <c r="I13" i="34"/>
  <c r="F7" i="34"/>
  <c r="L5" i="34"/>
  <c r="L15" i="34"/>
  <c r="J15" i="34"/>
  <c r="F13" i="34"/>
  <c r="C28" i="34"/>
  <c r="H33" i="34"/>
  <c r="H44" i="34"/>
  <c r="C37" i="34"/>
  <c r="N7" i="34" l="1"/>
  <c r="Q40" i="4"/>
  <c r="L41" i="4"/>
  <c r="S34" i="4"/>
  <c r="R39" i="4"/>
  <c r="M42" i="4"/>
  <c r="P40" i="4"/>
  <c r="M40" i="4"/>
  <c r="R31" i="4"/>
  <c r="Q41" i="4"/>
  <c r="L40" i="4"/>
  <c r="N43" i="4"/>
  <c r="S29" i="4"/>
  <c r="N40" i="4"/>
  <c r="N42" i="4"/>
  <c r="Q43" i="4"/>
  <c r="P41" i="4"/>
  <c r="M43" i="4"/>
  <c r="S41" i="4"/>
  <c r="S37" i="4"/>
  <c r="O40" i="4"/>
  <c r="R36" i="4"/>
  <c r="S32" i="4"/>
  <c r="R32" i="4"/>
  <c r="S36" i="4"/>
  <c r="O41" i="4"/>
  <c r="S38" i="4"/>
  <c r="Q42" i="4"/>
  <c r="R33" i="4"/>
  <c r="R34" i="4"/>
  <c r="L42" i="4"/>
  <c r="S40" i="4"/>
  <c r="S35" i="4"/>
  <c r="R42" i="4"/>
  <c r="R30" i="4"/>
  <c r="R29" i="4"/>
  <c r="O42" i="4"/>
  <c r="N41" i="4"/>
  <c r="R43" i="4"/>
  <c r="S31" i="4"/>
  <c r="R41" i="4"/>
  <c r="M41" i="4"/>
  <c r="S30" i="4"/>
  <c r="S33" i="4"/>
  <c r="R28" i="4"/>
  <c r="P42" i="4"/>
  <c r="R40" i="4"/>
  <c r="S28" i="4"/>
  <c r="S39" i="4"/>
  <c r="R38" i="4"/>
  <c r="O43" i="4"/>
  <c r="S42" i="4"/>
  <c r="R35" i="4"/>
  <c r="R37" i="4"/>
  <c r="L43" i="4"/>
  <c r="P43" i="4"/>
  <c r="S43" i="4"/>
  <c r="M6" i="34"/>
  <c r="M12" i="34"/>
  <c r="M8" i="34"/>
  <c r="M4" i="34"/>
  <c r="H11" i="34"/>
  <c r="G15" i="34"/>
  <c r="G17" i="34"/>
  <c r="C29" i="34"/>
  <c r="M16" i="34" l="1"/>
  <c r="M14" i="34"/>
  <c r="M10" i="34"/>
  <c r="C30" i="16"/>
  <c r="H22" i="16"/>
  <c r="C35" i="16"/>
  <c r="C23" i="16"/>
  <c r="H27" i="16"/>
  <c r="C22" i="16"/>
  <c r="H31" i="16"/>
  <c r="F10" i="16"/>
  <c r="H23" i="16"/>
  <c r="H6" i="16"/>
  <c r="J6" i="16"/>
  <c r="C27" i="16"/>
  <c r="J10" i="16"/>
  <c r="F12" i="16"/>
  <c r="I6" i="16"/>
  <c r="C34" i="16"/>
  <c r="H12" i="16"/>
  <c r="I12" i="16"/>
  <c r="J4" i="16"/>
  <c r="G10" i="16"/>
  <c r="J8" i="16"/>
  <c r="H4" i="16"/>
  <c r="I4" i="16"/>
  <c r="I8" i="16"/>
  <c r="C18" i="16"/>
  <c r="C31" i="16"/>
  <c r="G4" i="16"/>
  <c r="C26" i="16"/>
  <c r="C19" i="16"/>
  <c r="H34" i="16"/>
  <c r="F6" i="16"/>
  <c r="H10" i="16"/>
  <c r="G12" i="16"/>
  <c r="H35" i="16"/>
  <c r="G8" i="16"/>
  <c r="H19" i="16"/>
  <c r="F8" i="16"/>
  <c r="H30" i="16"/>
  <c r="H18" i="16"/>
  <c r="H26" i="16"/>
  <c r="A6" i="4" l="1"/>
  <c r="B6" i="4"/>
  <c r="C6" i="4"/>
  <c r="D6" i="4"/>
  <c r="E6" i="4"/>
  <c r="F1" i="4"/>
  <c r="J9" i="16"/>
  <c r="G11" i="16"/>
  <c r="G5" i="16"/>
  <c r="J11" i="16"/>
  <c r="J7" i="16"/>
  <c r="I13" i="16"/>
  <c r="G13" i="16"/>
  <c r="G9" i="16"/>
  <c r="J5" i="16"/>
  <c r="H7" i="16"/>
  <c r="H13" i="16"/>
  <c r="I9" i="16"/>
  <c r="F7" i="16"/>
  <c r="I7" i="16"/>
  <c r="H11" i="16"/>
  <c r="F13" i="16"/>
  <c r="H5" i="16"/>
  <c r="I5" i="16"/>
  <c r="F11" i="16"/>
  <c r="F9" i="16"/>
  <c r="L7" i="16" l="1"/>
  <c r="K12" i="16"/>
  <c r="K10" i="16"/>
  <c r="K8" i="16"/>
  <c r="K6" i="16"/>
  <c r="K4" i="16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X13" i="4"/>
  <c r="P12" i="4"/>
  <c r="Y21" i="4"/>
  <c r="X18" i="4"/>
  <c r="V22" i="4"/>
  <c r="V17" i="4"/>
  <c r="Q21" i="4"/>
  <c r="L22" i="4"/>
  <c r="Z12" i="4"/>
  <c r="O14" i="4"/>
  <c r="N22" i="4"/>
  <c r="Y20" i="4"/>
  <c r="U18" i="4"/>
  <c r="V20" i="4"/>
  <c r="Q20" i="4"/>
  <c r="N21" i="4"/>
  <c r="Z15" i="4"/>
  <c r="P17" i="4"/>
  <c r="U20" i="4"/>
  <c r="Z20" i="4"/>
  <c r="Y13" i="4"/>
  <c r="Z13" i="4"/>
  <c r="P16" i="4"/>
  <c r="U17" i="4"/>
  <c r="P20" i="4"/>
  <c r="Y11" i="4"/>
  <c r="P21" i="4"/>
  <c r="Q13" i="4"/>
  <c r="Z16" i="4"/>
  <c r="U21" i="4"/>
  <c r="Z18" i="4"/>
  <c r="L18" i="4"/>
  <c r="P18" i="4"/>
  <c r="X22" i="4"/>
  <c r="Z11" i="4"/>
  <c r="N19" i="4"/>
  <c r="O21" i="4"/>
  <c r="X19" i="4"/>
  <c r="Q22" i="4"/>
  <c r="W21" i="4"/>
  <c r="W17" i="4"/>
  <c r="Q11" i="4"/>
  <c r="Q15" i="4"/>
  <c r="Y22" i="4"/>
  <c r="O16" i="4"/>
  <c r="L19" i="4"/>
  <c r="Q16" i="4"/>
  <c r="W18" i="4"/>
  <c r="P11" i="4"/>
  <c r="O15" i="4"/>
  <c r="Y16" i="4"/>
  <c r="L21" i="4"/>
  <c r="Y19" i="4"/>
  <c r="Z19" i="4"/>
  <c r="N18" i="4"/>
  <c r="V19" i="4"/>
  <c r="Y12" i="4"/>
  <c r="P22" i="4"/>
  <c r="Y17" i="4"/>
  <c r="M17" i="4"/>
  <c r="Q12" i="4"/>
  <c r="P15" i="4"/>
  <c r="Q18" i="4"/>
  <c r="O19" i="4"/>
  <c r="O11" i="4"/>
  <c r="V18" i="4"/>
  <c r="W22" i="4"/>
  <c r="P14" i="4"/>
  <c r="Y18" i="4"/>
  <c r="Q14" i="4"/>
  <c r="Y15" i="4"/>
  <c r="U19" i="4"/>
  <c r="O18" i="4"/>
  <c r="X14" i="4"/>
  <c r="Z21" i="4"/>
  <c r="M21" i="4"/>
  <c r="M18" i="4"/>
  <c r="X12" i="4"/>
  <c r="X15" i="4"/>
  <c r="L20" i="4"/>
  <c r="Z17" i="4"/>
  <c r="X11" i="4"/>
  <c r="N17" i="4"/>
  <c r="X20" i="4"/>
  <c r="O20" i="4"/>
  <c r="O22" i="4"/>
  <c r="O13" i="4"/>
  <c r="M22" i="4"/>
  <c r="N20" i="4"/>
  <c r="Z14" i="4"/>
  <c r="M19" i="4"/>
  <c r="O17" i="4"/>
  <c r="O12" i="4"/>
  <c r="P13" i="4"/>
  <c r="V21" i="4"/>
  <c r="W19" i="4"/>
  <c r="P19" i="4"/>
  <c r="X17" i="4"/>
  <c r="M20" i="4"/>
  <c r="L17" i="4"/>
  <c r="W20" i="4"/>
  <c r="Y14" i="4"/>
  <c r="Z22" i="4"/>
  <c r="Q19" i="4"/>
  <c r="U22" i="4"/>
  <c r="X16" i="4"/>
  <c r="X21" i="4"/>
  <c r="Q17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M12" i="4"/>
  <c r="W12" i="4"/>
  <c r="W11" i="4"/>
  <c r="N14" i="4"/>
  <c r="N13" i="4"/>
  <c r="M16" i="4"/>
  <c r="M14" i="4"/>
  <c r="M13" i="4"/>
  <c r="N15" i="4"/>
  <c r="M15" i="4"/>
  <c r="N16" i="4"/>
  <c r="M11" i="4"/>
  <c r="V2" i="4" l="1"/>
  <c r="L1" i="4"/>
  <c r="N1" i="4"/>
  <c r="U1" i="4"/>
  <c r="V1" i="4"/>
  <c r="V3" i="4"/>
  <c r="W2" i="4"/>
  <c r="U2" i="4"/>
  <c r="W3" i="4"/>
  <c r="U3" i="4"/>
  <c r="U15" i="4"/>
  <c r="V13" i="4"/>
  <c r="N11" i="4"/>
  <c r="L15" i="4"/>
  <c r="L12" i="4"/>
  <c r="W16" i="4"/>
  <c r="L16" i="4"/>
  <c r="V15" i="4"/>
  <c r="U14" i="4"/>
  <c r="W15" i="4"/>
  <c r="L14" i="4"/>
  <c r="U11" i="4"/>
  <c r="V12" i="4"/>
  <c r="W14" i="4"/>
  <c r="V14" i="4"/>
  <c r="U13" i="4"/>
  <c r="V16" i="4"/>
  <c r="U16" i="4"/>
  <c r="L13" i="4"/>
  <c r="V11" i="4"/>
  <c r="N12" i="4"/>
  <c r="U12" i="4"/>
  <c r="W13" i="4"/>
  <c r="L11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<sst xmlns="http://schemas.openxmlformats.org/spreadsheetml/2006/main" count="517" uniqueCount="96">
  <si>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</si>
  <si>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</si>
  <si>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</si>
  <si>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</si>
  <si>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</si>
  <si>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</si>
  <si>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</si>
  <si>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</si>
  <si>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</si>
  <si>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</si>
  <si>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</si>
  <si>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</si>
  <si>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Тур 6</t>
  </si>
  <si>
    <t>Тур 7</t>
  </si>
  <si>
    <t>Открытый региональный турнир "Открытие сезона" (петанк, мужчины), г.Георгиевск, 5 апреля 2025 года, Группа А</t>
  </si>
  <si>
    <t>Открытый региональный турнир "Открытие сезона" (петанк, мужчины), г.Георгиевск, 5 апреля 2025 года, Группа В</t>
  </si>
  <si>
    <t>Открытый региональный турнир "Открытие сезона" (петанк, женщины), г.Георгиевск,                                5 апреля 2025 года, Группа А</t>
  </si>
  <si>
    <t>Открытый региональный турнир "Открытие сезона" (петанк, женщины), г.Георгиевск,                                5 апреля 2025 года, Группа В</t>
  </si>
  <si>
    <t>Открытый региональный турнир "Открытие сезона" (петанк, женщины), г.Георгиевск,                                5 апреля 2025 года, Группа С</t>
  </si>
  <si>
    <t>Ерёмин Павел</t>
  </si>
  <si>
    <t>Борисенко Дмитрий</t>
  </si>
  <si>
    <t>Коржов Владимир</t>
  </si>
  <si>
    <t>Шустваль Евгений</t>
  </si>
  <si>
    <t>Татьянц Дмитрий</t>
  </si>
  <si>
    <t>Пищанский Виктор</t>
  </si>
  <si>
    <t>Соколовский Павел</t>
  </si>
  <si>
    <t>0/2</t>
  </si>
  <si>
    <t>2/0</t>
  </si>
  <si>
    <t>1/0</t>
  </si>
  <si>
    <t>0/1</t>
  </si>
  <si>
    <t>1/1</t>
  </si>
  <si>
    <t>Капран-Индаяти Сергей</t>
  </si>
  <si>
    <t>Нечаев Максим</t>
  </si>
  <si>
    <t>Помазан Геннадий</t>
  </si>
  <si>
    <t>Субанов Руслан</t>
  </si>
  <si>
    <t>Шубин Андрей</t>
  </si>
  <si>
    <t>Дорошенко Анатолий</t>
  </si>
  <si>
    <t>Майсов Антон</t>
  </si>
  <si>
    <t>Фёдорова Анна</t>
  </si>
  <si>
    <t>Семченкова Марина</t>
  </si>
  <si>
    <t>Костяная Евгения</t>
  </si>
  <si>
    <t>Помазан Лидия</t>
  </si>
  <si>
    <t>Корсакова Ольга</t>
  </si>
  <si>
    <t>Дегтярёва Лариса</t>
  </si>
  <si>
    <t>Маркина Елена</t>
  </si>
  <si>
    <t>Серёгина Ольга</t>
  </si>
  <si>
    <t>Сапронова Мария</t>
  </si>
  <si>
    <t>Николаенко Юлия</t>
  </si>
  <si>
    <t>Дегтярёва Мила</t>
  </si>
  <si>
    <t>Пилипенко Ирина</t>
  </si>
  <si>
    <t>Симутина Юлия</t>
  </si>
  <si>
    <t>Погорелова Александра</t>
  </si>
  <si>
    <t>Шустваль Наталья</t>
  </si>
  <si>
    <t>Открытый региональный турнир "Открытие сезона" (петанк, мужчины), г.Георгиевск, 5 апреля 2025 года, Кубок А</t>
  </si>
  <si>
    <t>Открытый региональный турнир "Открытие сезона" (петанк, мужчины), г.Георгиевск, 5 апреля 2025 года, Кубок В</t>
  </si>
  <si>
    <t>Открытый региональный турнир "Открытие сезона" (петанк, женщины), г.Георгиевск,                                        5 апреля 2025 года, Кубок А</t>
  </si>
  <si>
    <t>Открытый региональный турнир "Открытие сезона" (петанк, женщины), г.Георгиевск, 5 апреля 2025 года, Кубок В</t>
  </si>
  <si>
    <t>матч не доигран</t>
  </si>
  <si>
    <t>Главный судья          ____________ С.В.Капран-Индаяти</t>
  </si>
  <si>
    <t>Главный секретарь  _____________ М.А.Нечаев</t>
  </si>
  <si>
    <t>РФСОО "Всероссийская федерация боулспорта"</t>
  </si>
  <si>
    <t>Место</t>
  </si>
  <si>
    <t>ФИО</t>
  </si>
  <si>
    <t>Регион</t>
  </si>
  <si>
    <t>Очки Гран-При России по петанку</t>
  </si>
  <si>
    <t>Краснодарский край</t>
  </si>
  <si>
    <t>Ставропольский край</t>
  </si>
  <si>
    <t>ИТОГОВЫЙ ПРОТОКОЛ                                                                       Открытый региональный турнир         "Открытие сезона" (петанк, мужчины), г.Георгиевск, 5 апреля 2024 года</t>
  </si>
  <si>
    <t>Москва</t>
  </si>
  <si>
    <t>ИТОГОВЫЙ ПРОТОКОЛ                                                                       Открытый региональный турнир         "Открытие сезона" (петанк, женщины), г.Георгиевск, 5 апреля 2024 года</t>
  </si>
  <si>
    <t>7-8</t>
  </si>
  <si>
    <t>Томск</t>
  </si>
  <si>
    <t>Чемпионат ВФБ по боулспорту (петанк-двойка, мужчины) г.Георгиевск, 6 апреля 2025 года</t>
  </si>
  <si>
    <t>Ерёмин, Субанов</t>
  </si>
  <si>
    <t>Нечаев, Борисенко</t>
  </si>
  <si>
    <t>Капран-Индаяти, Шубин</t>
  </si>
  <si>
    <t>Помазан, Шустваль</t>
  </si>
  <si>
    <t>Коржов, Соколовский</t>
  </si>
  <si>
    <t>Татьянц, Пищанский</t>
  </si>
  <si>
    <t>Попов, Дуплякин</t>
  </si>
  <si>
    <t>Дуплякин Юрий</t>
  </si>
  <si>
    <t>Попов Михаил</t>
  </si>
  <si>
    <t>ИТОГОВЫЙ ПРОТОКОЛ                                                                       Чемпионат ВФБ по боулспорту (петанк-двойка, мужчины), г.Георгиевск, 6 апреля 2025 года</t>
  </si>
  <si>
    <t>Чемпионат ВФБ по боулспорту (петанк-двойка, женщины) г.Георгиевск, 6 апреля 2025 года</t>
  </si>
  <si>
    <t>Дегтярёва М., Дегтярёва Л.</t>
  </si>
  <si>
    <t>Мыльцева О., Мыльцева О. (мл.)</t>
  </si>
  <si>
    <t>Фёдорова А., Корсакова О.</t>
  </si>
  <si>
    <t>Семченкова М., Сапронова М.</t>
  </si>
  <si>
    <t>Маркина Е., Погорелова А.</t>
  </si>
  <si>
    <t>Пищанская Н., Костяная Е.</t>
  </si>
  <si>
    <t>Пилипенко И., Николаенко Ю.</t>
  </si>
  <si>
    <t>Шустваль Н., Помазан Л.</t>
  </si>
  <si>
    <t>ИТОГОВЫЙ ПРОТОКОЛ                                                                       Чемпионат ВФБ по боулспорту (петанк-двойка, женщины), г.Георгиевск, 6 апреля 2025 года</t>
  </si>
  <si>
    <t>Пищанская Наталья</t>
  </si>
  <si>
    <t>Мыльцеыв Ольга</t>
  </si>
  <si>
    <t>Мыльцева Ольга (мл.)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</si>
</sst>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"/>
    <numFmt numFmtId="165" formatCode="\+##;\-##;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0" tint="-0.14999847407452621"/>
      <name val="Calibri"/>
      <family val="2"/>
      <charset val="204"/>
      <scheme val="minor"/>
    </font>
    <font>
      <b/>
      <sz val="13"/>
      <color indexed="8"/>
      <name val="Cambria"/>
      <family val="1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20"/>
      <color indexed="8"/>
      <name val="Cambria"/>
      <family val="1"/>
      <charset val="204"/>
    </font>
    <font>
      <b/>
      <sz val="22"/>
      <color indexed="8"/>
      <name val="Cambria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5" fontId="2" fillId="0" borderId="45" xfId="0" applyNumberFormat="1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49" xfId="0" applyNumberFormat="1" applyFont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164" fontId="2" fillId="2" borderId="4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31" xfId="0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 indent="1"/>
    </xf>
    <xf numFmtId="0" fontId="3" fillId="0" borderId="34" xfId="0" applyFont="1" applyFill="1" applyBorder="1" applyAlignment="1">
      <alignment horizontal="left" vertical="center" wrapText="1" indent="1"/>
    </xf>
    <xf numFmtId="0" fontId="3" fillId="0" borderId="35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4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4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 wrapText="1" indent="1"/>
    </xf>
    <xf numFmtId="0" fontId="3" fillId="0" borderId="43" xfId="0" applyFont="1" applyFill="1" applyBorder="1" applyAlignment="1">
      <alignment horizontal="left" vertical="center" wrapText="1" indent="1"/>
    </xf>
    <xf numFmtId="0" fontId="3" fillId="0" borderId="48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7" xfId="0" applyBorder="1"/>
    <xf numFmtId="0" fontId="0" fillId="0" borderId="30" xfId="0" applyBorder="1"/>
    <xf numFmtId="0" fontId="0" fillId="0" borderId="51" xfId="0" applyBorder="1" applyAlignment="1">
      <alignment horizontal="center"/>
    </xf>
    <xf numFmtId="0" fontId="14" fillId="0" borderId="7" xfId="0" applyFont="1" applyBorder="1"/>
    <xf numFmtId="0" fontId="13" fillId="0" borderId="8" xfId="0" applyFont="1" applyBorder="1" applyAlignment="1">
      <alignment horizontal="center"/>
    </xf>
    <xf numFmtId="0" fontId="0" fillId="0" borderId="9" xfId="0" applyBorder="1"/>
    <xf numFmtId="0" fontId="0" fillId="0" borderId="33" xfId="0" applyBorder="1"/>
    <xf numFmtId="0" fontId="0" fillId="0" borderId="52" xfId="0" applyBorder="1" applyAlignment="1">
      <alignment horizontal="center"/>
    </xf>
    <xf numFmtId="0" fontId="15" fillId="0" borderId="7" xfId="0" applyFont="1" applyBorder="1"/>
    <xf numFmtId="0" fontId="0" fillId="0" borderId="0" xfId="0" applyBorder="1"/>
    <xf numFmtId="0" fontId="14" fillId="0" borderId="0" xfId="0" applyFont="1" applyBorder="1"/>
    <xf numFmtId="0" fontId="13" fillId="0" borderId="18" xfId="0" applyFont="1" applyBorder="1" applyAlignment="1">
      <alignment horizontal="center"/>
    </xf>
    <xf numFmtId="0" fontId="0" fillId="0" borderId="53" xfId="0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0" fillId="0" borderId="54" xfId="0" applyBorder="1"/>
    <xf numFmtId="0" fontId="0" fillId="0" borderId="45" xfId="0" applyBorder="1"/>
    <xf numFmtId="0" fontId="0" fillId="0" borderId="32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0" fillId="0" borderId="21" xfId="0" applyBorder="1"/>
    <xf numFmtId="0" fontId="9" fillId="0" borderId="0" xfId="0" applyFont="1" applyBorder="1"/>
    <xf numFmtId="0" fontId="15" fillId="0" borderId="0" xfId="0" applyFont="1" applyBorder="1"/>
    <xf numFmtId="0" fontId="16" fillId="0" borderId="0" xfId="0" applyFont="1" applyAlignment="1">
      <alignment horizontal="center" vertical="center"/>
    </xf>
    <xf numFmtId="49" fontId="2" fillId="0" borderId="4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topLeftCell="A34" workbookViewId="0">
      <selection activeCell="N5" sqref="N5"/>
    </sheetView>
  </sheetViews>
  <sheetFormatPr defaultRowHeight="15" x14ac:dyDescent="0.25"/>
  <cols>
    <col min="1" max="1" width="4" style="76" customWidth="1"/>
    <col min="2" max="4" width="10.28515625" customWidth="1"/>
    <col min="5" max="5" width="12.140625" customWidth="1"/>
    <col min="6" max="12" width="10.28515625" customWidth="1"/>
    <col min="13" max="13" width="10.28515625" style="37" customWidth="1"/>
    <col min="14" max="15" width="10.28515625" customWidth="1"/>
  </cols>
  <sheetData>
    <row r="1" spans="2:15" ht="59.25" customHeight="1" x14ac:dyDescent="0.25">
      <c r="B1" s="124" t="s">
        <v>14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15" ht="15.75" thickBot="1" x14ac:dyDescent="0.3">
      <c r="M2"/>
    </row>
    <row r="3" spans="2:15" ht="30" customHeight="1" thickBot="1" x14ac:dyDescent="0.3">
      <c r="B3" s="75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2">
        <v>7</v>
      </c>
      <c r="M3" s="3" t="s">
        <v>1</v>
      </c>
      <c r="N3" s="1" t="s">
        <v>3</v>
      </c>
      <c r="O3" s="4" t="s">
        <v>2</v>
      </c>
    </row>
    <row r="4" spans="2:15" ht="24" customHeight="1" x14ac:dyDescent="0.25">
      <c r="B4" s="80">
        <v>1</v>
      </c>
      <c r="C4" s="82" t="s">
        <v>19</v>
      </c>
      <c r="D4" s="83"/>
      <c r="E4" s="84"/>
      <c r="F4" s="10"/>
      <c r="G4" s="6" t="str">
        <f ca="1">INDIRECT(ADDRESS(29,6))&amp;":"&amp;INDIRECT(ADDRESS(29,7))</f>
        <v>7:13</v>
      </c>
      <c r="H4" s="6" t="str">
        <f ca="1">INDIRECT(ADDRESS(32,7))&amp;":"&amp;INDIRECT(ADDRESS(32,6))</f>
        <v>13:7</v>
      </c>
      <c r="I4" s="6" t="str">
        <f ca="1">INDIRECT(ADDRESS(38,6))&amp;":"&amp;INDIRECT(ADDRESS(38,7))</f>
        <v>9:13</v>
      </c>
      <c r="J4" s="6" t="str">
        <f ca="1">INDIRECT(ADDRESS(43,7))&amp;":"&amp;INDIRECT(ADDRESS(43,6))</f>
        <v>11:13</v>
      </c>
      <c r="K4" s="45" t="str">
        <f ca="1">INDIRECT(ADDRESS(47,6))&amp;":"&amp;INDIRECT(ADDRESS(47,7))</f>
        <v>1:13</v>
      </c>
      <c r="L4" s="21" t="str">
        <f ca="1">INDIRECT(ADDRESS(54,7))&amp;":"&amp;INDIRECT(ADDRESS(54,6))</f>
        <v>13:5</v>
      </c>
      <c r="M4" s="115">
        <f ca="1">IF(COUNT(F5:L5)=0,"",COUNTIF(F5:L5,"&gt;0")+0.5*COUNTIF(F5:L5,0))</f>
        <v>2</v>
      </c>
      <c r="N4" s="24" t="s">
        <v>26</v>
      </c>
      <c r="O4" s="108">
        <v>7</v>
      </c>
    </row>
    <row r="5" spans="2:15" ht="24" customHeight="1" x14ac:dyDescent="0.25">
      <c r="B5" s="81"/>
      <c r="C5" s="85"/>
      <c r="D5" s="86"/>
      <c r="E5" s="87"/>
      <c r="F5" s="14"/>
      <c r="G5" s="17">
        <f ca="1">IF(LEN(INDIRECT(ADDRESS(ROW()-1, COLUMN())))=1,"",INDIRECT(ADDRESS(29,6))-INDIRECT(ADDRESS(29,7)))</f>
        <v>-6</v>
      </c>
      <c r="H5" s="17">
        <f ca="1">IF(LEN(INDIRECT(ADDRESS(ROW()-1, COLUMN())))=1,"",INDIRECT(ADDRESS(32,7))-INDIRECT(ADDRESS(32,6)))</f>
        <v>6</v>
      </c>
      <c r="I5" s="17">
        <f ca="1">IF(LEN(INDIRECT(ADDRESS(ROW()-1, COLUMN())))=1,"",INDIRECT(ADDRESS(38,6))-INDIRECT(ADDRESS(38,7)))</f>
        <v>-4</v>
      </c>
      <c r="J5" s="17">
        <f ca="1">IF(LEN(INDIRECT(ADDRESS(ROW()-1, COLUMN())))=1,"",INDIRECT(ADDRESS(43,7))-INDIRECT(ADDRESS(43,6)))</f>
        <v>-2</v>
      </c>
      <c r="K5" s="46">
        <f ca="1">IF(LEN(INDIRECT(ADDRESS(ROW()-1, COLUMN())))=1,"",INDIRECT(ADDRESS(47,6))-INDIRECT(ADDRESS(47,7)))</f>
        <v>-12</v>
      </c>
      <c r="L5" s="18">
        <f ca="1">IF(LEN(INDIRECT(ADDRESS(ROW()-1, COLUMN())))=1,"",INDIRECT(ADDRESS(54,7))-INDIRECT(ADDRESS(54,6)))</f>
        <v>8</v>
      </c>
      <c r="M5" s="89"/>
      <c r="N5" s="17"/>
      <c r="O5" s="107"/>
    </row>
    <row r="6" spans="2:15" ht="24" customHeight="1" x14ac:dyDescent="0.25">
      <c r="B6" s="92">
        <v>2</v>
      </c>
      <c r="C6" s="85" t="s">
        <v>20</v>
      </c>
      <c r="D6" s="86"/>
      <c r="E6" s="87"/>
      <c r="F6" s="12" t="str">
        <f ca="1">INDIRECT(ADDRESS(29,7))&amp;":"&amp;INDIRECT(ADDRESS(29,6))</f>
        <v>13:7</v>
      </c>
      <c r="G6" s="8"/>
      <c r="H6" s="7" t="str">
        <f ca="1">INDIRECT(ADDRESS(39,6))&amp;":"&amp;INDIRECT(ADDRESS(39,7))</f>
        <v>13:3</v>
      </c>
      <c r="I6" s="7" t="str">
        <f ca="1">INDIRECT(ADDRESS(42,7))&amp;":"&amp;INDIRECT(ADDRESS(42,6))</f>
        <v>8:6</v>
      </c>
      <c r="J6" s="7" t="str">
        <f ca="1">INDIRECT(ADDRESS(48,6))&amp;":"&amp;INDIRECT(ADDRESS(48,7))</f>
        <v>12:9</v>
      </c>
      <c r="K6" s="47" t="str">
        <f ca="1">INDIRECT(ADDRESS(53,7))&amp;":"&amp;INDIRECT(ADDRESS(53,6))</f>
        <v>11:7</v>
      </c>
      <c r="L6" s="11" t="str">
        <f ca="1">INDIRECT(ADDRESS(22,6))&amp;":"&amp;INDIRECT(ADDRESS(22,7))</f>
        <v>9:13</v>
      </c>
      <c r="M6" s="89">
        <f ca="1">IF(COUNT(F7:L7)=0,"",COUNTIF(F7:L7,"&gt;0")+0.5*COUNTIF(F7:L7,0))</f>
        <v>5</v>
      </c>
      <c r="N6" s="17"/>
      <c r="O6" s="106">
        <v>1</v>
      </c>
    </row>
    <row r="7" spans="2:15" ht="24" customHeight="1" x14ac:dyDescent="0.25">
      <c r="B7" s="81"/>
      <c r="C7" s="85"/>
      <c r="D7" s="86"/>
      <c r="E7" s="87"/>
      <c r="F7" s="23">
        <f ca="1">IF(LEN(INDIRECT(ADDRESS(ROW()-1, COLUMN())))=1,"",INDIRECT(ADDRESS(29,7))-INDIRECT(ADDRESS(29,6)))</f>
        <v>6</v>
      </c>
      <c r="G7" s="15"/>
      <c r="H7" s="17">
        <f ca="1">IF(LEN(INDIRECT(ADDRESS(ROW()-1, COLUMN())))=1,"",INDIRECT(ADDRESS(39,6))-INDIRECT(ADDRESS(39,7)))</f>
        <v>10</v>
      </c>
      <c r="I7" s="17">
        <f ca="1">IF(LEN(INDIRECT(ADDRESS(ROW()-1, COLUMN())))=1,"",INDIRECT(ADDRESS(42,7))-INDIRECT(ADDRESS(42,6)))</f>
        <v>2</v>
      </c>
      <c r="J7" s="17">
        <f ca="1">IF(LEN(INDIRECT(ADDRESS(ROW()-1, COLUMN())))=1,"",INDIRECT(ADDRESS(48,6))-INDIRECT(ADDRESS(48,7)))</f>
        <v>3</v>
      </c>
      <c r="K7" s="46">
        <f ca="1">IF(LEN(INDIRECT(ADDRESS(ROW()-1, COLUMN())))=1,"",INDIRECT(ADDRESS(53,7))-INDIRECT(ADDRESS(53,6)))</f>
        <v>4</v>
      </c>
      <c r="L7" s="18">
        <f ca="1">IF(LEN(INDIRECT(ADDRESS(ROW()-1, COLUMN())))=1,"",INDIRECT(ADDRESS(22,6))-INDIRECT(ADDRESS(22,7)))</f>
        <v>-4</v>
      </c>
      <c r="M7" s="89"/>
      <c r="N7" s="17"/>
      <c r="O7" s="107"/>
    </row>
    <row r="8" spans="2:15" ht="24" customHeight="1" x14ac:dyDescent="0.25">
      <c r="B8" s="92">
        <v>3</v>
      </c>
      <c r="C8" s="85" t="s">
        <v>21</v>
      </c>
      <c r="D8" s="86"/>
      <c r="E8" s="87"/>
      <c r="F8" s="12" t="str">
        <f ca="1">INDIRECT(ADDRESS(32,6))&amp;":"&amp;INDIRECT(ADDRESS(32,7))</f>
        <v>7:13</v>
      </c>
      <c r="G8" s="7" t="str">
        <f ca="1">INDIRECT(ADDRESS(39,7))&amp;":"&amp;INDIRECT(ADDRESS(39,6))</f>
        <v>3:13</v>
      </c>
      <c r="H8" s="8"/>
      <c r="I8" s="7" t="str">
        <f ca="1">INDIRECT(ADDRESS(49,6))&amp;":"&amp;INDIRECT(ADDRESS(49,7))</f>
        <v>11:10</v>
      </c>
      <c r="J8" s="7" t="str">
        <f ca="1">INDIRECT(ADDRESS(52,7))&amp;":"&amp;INDIRECT(ADDRESS(52,6))</f>
        <v>1:13</v>
      </c>
      <c r="K8" s="47" t="str">
        <f ca="1">INDIRECT(ADDRESS(23,6))&amp;":"&amp;INDIRECT(ADDRESS(23,7))</f>
        <v>10:8</v>
      </c>
      <c r="L8" s="11" t="str">
        <f ca="1">INDIRECT(ADDRESS(28,7))&amp;":"&amp;INDIRECT(ADDRESS(28,6))</f>
        <v>13:7</v>
      </c>
      <c r="M8" s="89">
        <f ca="1">IF(COUNT(F9:L9)=0,"",COUNTIF(F9:L9,"&gt;0")+0.5*COUNTIF(F9:L9,0))</f>
        <v>3</v>
      </c>
      <c r="N8" s="17" t="s">
        <v>28</v>
      </c>
      <c r="O8" s="106">
        <v>3</v>
      </c>
    </row>
    <row r="9" spans="2:15" ht="24" customHeight="1" x14ac:dyDescent="0.25">
      <c r="B9" s="81"/>
      <c r="C9" s="85"/>
      <c r="D9" s="86"/>
      <c r="E9" s="87"/>
      <c r="F9" s="23">
        <f ca="1">IF(LEN(INDIRECT(ADDRESS(ROW()-1, COLUMN())))=1,"",INDIRECT(ADDRESS(32,6))-INDIRECT(ADDRESS(32,7)))</f>
        <v>-6</v>
      </c>
      <c r="G9" s="17">
        <f ca="1">IF(LEN(INDIRECT(ADDRESS(ROW()-1, COLUMN())))=1,"",INDIRECT(ADDRESS(39,7))-INDIRECT(ADDRESS(39,6)))</f>
        <v>-10</v>
      </c>
      <c r="H9" s="15"/>
      <c r="I9" s="17">
        <f ca="1">IF(LEN(INDIRECT(ADDRESS(ROW()-1, COLUMN())))=1,"",INDIRECT(ADDRESS(49,6))-INDIRECT(ADDRESS(49,7)))</f>
        <v>1</v>
      </c>
      <c r="J9" s="17">
        <f ca="1">IF(LEN(INDIRECT(ADDRESS(ROW()-1, COLUMN())))=1,"",INDIRECT(ADDRESS(52,7))-INDIRECT(ADDRESS(52,6)))</f>
        <v>-12</v>
      </c>
      <c r="K9" s="46">
        <f ca="1">IF(LEN(INDIRECT(ADDRESS(ROW()-1, COLUMN())))=1,"",INDIRECT(ADDRESS(23,6))-INDIRECT(ADDRESS(23,7)))</f>
        <v>2</v>
      </c>
      <c r="L9" s="18">
        <f ca="1">IF(LEN(INDIRECT(ADDRESS(ROW()-1, COLUMN())))=1,"",INDIRECT(ADDRESS(28,7))-INDIRECT(ADDRESS(28,6)))</f>
        <v>6</v>
      </c>
      <c r="M9" s="89"/>
      <c r="N9" s="17"/>
      <c r="O9" s="107"/>
    </row>
    <row r="10" spans="2:15" ht="24" customHeight="1" x14ac:dyDescent="0.25">
      <c r="B10" s="92">
        <v>4</v>
      </c>
      <c r="C10" s="85" t="s">
        <v>22</v>
      </c>
      <c r="D10" s="86"/>
      <c r="E10" s="87"/>
      <c r="F10" s="12" t="str">
        <f ca="1">INDIRECT(ADDRESS(38,7))&amp;":"&amp;INDIRECT(ADDRESS(38,6))</f>
        <v>13:9</v>
      </c>
      <c r="G10" s="7" t="str">
        <f ca="1">INDIRECT(ADDRESS(42,6))&amp;":"&amp;INDIRECT(ADDRESS(42,7))</f>
        <v>6:8</v>
      </c>
      <c r="H10" s="7" t="str">
        <f ca="1">INDIRECT(ADDRESS(49,7))&amp;":"&amp;INDIRECT(ADDRESS(49,6))</f>
        <v>10:11</v>
      </c>
      <c r="I10" s="8"/>
      <c r="J10" s="7" t="str">
        <f ca="1">INDIRECT(ADDRESS(24,6))&amp;":"&amp;INDIRECT(ADDRESS(24,7))</f>
        <v>13:10</v>
      </c>
      <c r="K10" s="47" t="str">
        <f ca="1">INDIRECT(ADDRESS(27,7))&amp;":"&amp;INDIRECT(ADDRESS(27,6))</f>
        <v>11:8</v>
      </c>
      <c r="L10" s="11" t="str">
        <f ca="1">INDIRECT(ADDRESS(33,6))&amp;":"&amp;INDIRECT(ADDRESS(33,7))</f>
        <v>9:12</v>
      </c>
      <c r="M10" s="89">
        <f ca="1">IF(COUNT(F11:L11)=0,"",COUNTIF(F11:L11,"&gt;0")+0.5*COUNTIF(F11:L11,0))</f>
        <v>3</v>
      </c>
      <c r="N10" s="17" t="s">
        <v>29</v>
      </c>
      <c r="O10" s="106">
        <v>4</v>
      </c>
    </row>
    <row r="11" spans="2:15" ht="24" customHeight="1" x14ac:dyDescent="0.25">
      <c r="B11" s="81"/>
      <c r="C11" s="85"/>
      <c r="D11" s="86"/>
      <c r="E11" s="87"/>
      <c r="F11" s="23">
        <f ca="1">IF(LEN(INDIRECT(ADDRESS(ROW()-1, COLUMN())))=1,"",INDIRECT(ADDRESS(38,7))-INDIRECT(ADDRESS(38,6)))</f>
        <v>4</v>
      </c>
      <c r="G11" s="17">
        <f ca="1">IF(LEN(INDIRECT(ADDRESS(ROW()-1, COLUMN())))=1,"",INDIRECT(ADDRESS(42,6))-INDIRECT(ADDRESS(42,7)))</f>
        <v>-2</v>
      </c>
      <c r="H11" s="17">
        <f ca="1">IF(LEN(INDIRECT(ADDRESS(ROW()-1, COLUMN())))=1,"",INDIRECT(ADDRESS(49,7))-INDIRECT(ADDRESS(49,6)))</f>
        <v>-1</v>
      </c>
      <c r="I11" s="15"/>
      <c r="J11" s="17">
        <f ca="1">IF(LEN(INDIRECT(ADDRESS(ROW()-1, COLUMN())))=1,"",INDIRECT(ADDRESS(24,6))-INDIRECT(ADDRESS(24,7)))</f>
        <v>3</v>
      </c>
      <c r="K11" s="46">
        <f ca="1">IF(LEN(INDIRECT(ADDRESS(ROW()-1, COLUMN())))=1,"",INDIRECT(ADDRESS(27,7))-INDIRECT(ADDRESS(27,6)))</f>
        <v>3</v>
      </c>
      <c r="L11" s="18">
        <f ca="1">IF(LEN(INDIRECT(ADDRESS(ROW()-1, COLUMN())))=1,"",INDIRECT(ADDRESS(33,6))-INDIRECT(ADDRESS(33,7)))</f>
        <v>-3</v>
      </c>
      <c r="M11" s="89"/>
      <c r="N11" s="17"/>
      <c r="O11" s="107"/>
    </row>
    <row r="12" spans="2:15" ht="24" customHeight="1" x14ac:dyDescent="0.25">
      <c r="B12" s="92">
        <v>5</v>
      </c>
      <c r="C12" s="85" t="s">
        <v>23</v>
      </c>
      <c r="D12" s="86"/>
      <c r="E12" s="87"/>
      <c r="F12" s="12" t="str">
        <f ca="1">INDIRECT(ADDRESS(43,6))&amp;":"&amp;INDIRECT(ADDRESS(43,7))</f>
        <v>13:11</v>
      </c>
      <c r="G12" s="7" t="str">
        <f ca="1">INDIRECT(ADDRESS(48,7))&amp;":"&amp;INDIRECT(ADDRESS(48,6))</f>
        <v>9:12</v>
      </c>
      <c r="H12" s="7" t="str">
        <f ca="1">INDIRECT(ADDRESS(52,6))&amp;":"&amp;INDIRECT(ADDRESS(52,7))</f>
        <v>13:1</v>
      </c>
      <c r="I12" s="7" t="str">
        <f ca="1">INDIRECT(ADDRESS(24,7))&amp;":"&amp;INDIRECT(ADDRESS(24,6))</f>
        <v>10:13</v>
      </c>
      <c r="J12" s="8"/>
      <c r="K12" s="47" t="str">
        <f ca="1">INDIRECT(ADDRESS(34,6))&amp;":"&amp;INDIRECT(ADDRESS(34,7))</f>
        <v>2:13</v>
      </c>
      <c r="L12" s="11" t="str">
        <f ca="1">INDIRECT(ADDRESS(37,7))&amp;":"&amp;INDIRECT(ADDRESS(37,6))</f>
        <v>8:13</v>
      </c>
      <c r="M12" s="89">
        <f ca="1">IF(COUNT(F13:L13)=0,"",COUNTIF(F13:L13,"&gt;0")+0.5*COUNTIF(F13:L13,0))</f>
        <v>2</v>
      </c>
      <c r="N12" s="127" t="s">
        <v>30</v>
      </c>
      <c r="O12" s="106">
        <v>6</v>
      </c>
    </row>
    <row r="13" spans="2:15" ht="24" customHeight="1" x14ac:dyDescent="0.25">
      <c r="B13" s="81"/>
      <c r="C13" s="85"/>
      <c r="D13" s="86"/>
      <c r="E13" s="87"/>
      <c r="F13" s="23">
        <f ca="1">IF(LEN(INDIRECT(ADDRESS(ROW()-1, COLUMN())))=1,"",INDIRECT(ADDRESS(43,6))-INDIRECT(ADDRESS(43,7)))</f>
        <v>2</v>
      </c>
      <c r="G13" s="17">
        <f ca="1">IF(LEN(INDIRECT(ADDRESS(ROW()-1, COLUMN())))=1,"",INDIRECT(ADDRESS(48,7))-INDIRECT(ADDRESS(48,6)))</f>
        <v>-3</v>
      </c>
      <c r="H13" s="17">
        <f ca="1">IF(LEN(INDIRECT(ADDRESS(ROW()-1, COLUMN())))=1,"",INDIRECT(ADDRESS(52,6))-INDIRECT(ADDRESS(52,7)))</f>
        <v>12</v>
      </c>
      <c r="I13" s="17">
        <f ca="1">IF(LEN(INDIRECT(ADDRESS(ROW()-1, COLUMN())))=1,"",INDIRECT(ADDRESS(24,7))-INDIRECT(ADDRESS(24,6)))</f>
        <v>-3</v>
      </c>
      <c r="J13" s="15"/>
      <c r="K13" s="46">
        <f ca="1">IF(LEN(INDIRECT(ADDRESS(ROW()-1, COLUMN())))=1,"",INDIRECT(ADDRESS(34,6))-INDIRECT(ADDRESS(34,7)))</f>
        <v>-11</v>
      </c>
      <c r="L13" s="18">
        <f ca="1">IF(LEN(INDIRECT(ADDRESS(ROW()-1, COLUMN())))=1,"",INDIRECT(ADDRESS(37,7))-INDIRECT(ADDRESS(37,6)))</f>
        <v>-5</v>
      </c>
      <c r="M13" s="89"/>
      <c r="N13" s="17"/>
      <c r="O13" s="107"/>
    </row>
    <row r="14" spans="2:15" ht="24" customHeight="1" x14ac:dyDescent="0.25">
      <c r="B14" s="92">
        <v>6</v>
      </c>
      <c r="C14" s="85" t="s">
        <v>24</v>
      </c>
      <c r="D14" s="86"/>
      <c r="E14" s="87"/>
      <c r="F14" s="12" t="str">
        <f ca="1">INDIRECT(ADDRESS(47,7))&amp;":"&amp;INDIRECT(ADDRESS(47,6))</f>
        <v>13:1</v>
      </c>
      <c r="G14" s="7" t="str">
        <f ca="1">INDIRECT(ADDRESS(53,6))&amp;":"&amp;INDIRECT(ADDRESS(53,7))</f>
        <v>7:11</v>
      </c>
      <c r="H14" s="7" t="str">
        <f ca="1">INDIRECT(ADDRESS(23,7))&amp;":"&amp;INDIRECT(ADDRESS(23,6))</f>
        <v>8:10</v>
      </c>
      <c r="I14" s="7" t="str">
        <f ca="1">INDIRECT(ADDRESS(27,6))&amp;":"&amp;INDIRECT(ADDRESS(27,7))</f>
        <v>8:11</v>
      </c>
      <c r="J14" s="7" t="str">
        <f ca="1">INDIRECT(ADDRESS(34,7))&amp;":"&amp;INDIRECT(ADDRESS(34,6))</f>
        <v>13:2</v>
      </c>
      <c r="K14" s="48"/>
      <c r="L14" s="52" t="str">
        <f ca="1">INDIRECT(ADDRESS(44,6))&amp;":"&amp;INDIRECT(ADDRESS(44,7))</f>
        <v>4:10</v>
      </c>
      <c r="M14" s="89">
        <f ca="1">IF(COUNT(F15:L15)=0,"",COUNTIF(F15:L15,"&gt;0")+0.5*COUNTIF(F15:L15,0))</f>
        <v>2</v>
      </c>
      <c r="N14" s="17" t="s">
        <v>27</v>
      </c>
      <c r="O14" s="106">
        <v>5</v>
      </c>
    </row>
    <row r="15" spans="2:15" ht="24" customHeight="1" x14ac:dyDescent="0.25">
      <c r="B15" s="81"/>
      <c r="C15" s="85"/>
      <c r="D15" s="86"/>
      <c r="E15" s="87"/>
      <c r="F15" s="23">
        <f ca="1">IF(LEN(INDIRECT(ADDRESS(ROW()-1, COLUMN())))=1,"",INDIRECT(ADDRESS(47,7))-INDIRECT(ADDRESS(47,6)))</f>
        <v>12</v>
      </c>
      <c r="G15" s="17">
        <f ca="1">IF(LEN(INDIRECT(ADDRESS(ROW()-1, COLUMN())))=1,"",INDIRECT(ADDRESS(53,6))-INDIRECT(ADDRESS(53,7)))</f>
        <v>-4</v>
      </c>
      <c r="H15" s="17">
        <f ca="1">IF(LEN(INDIRECT(ADDRESS(ROW()-1, COLUMN())))=1,"",INDIRECT(ADDRESS(23,7))-INDIRECT(ADDRESS(23,6)))</f>
        <v>-2</v>
      </c>
      <c r="I15" s="17">
        <f ca="1">IF(LEN(INDIRECT(ADDRESS(ROW()-1, COLUMN())))=1,"",INDIRECT(ADDRESS(27,6))-INDIRECT(ADDRESS(27,7)))</f>
        <v>-3</v>
      </c>
      <c r="J15" s="17">
        <f ca="1">IF(LEN(INDIRECT(ADDRESS(ROW()-1, COLUMN())))=1,"",INDIRECT(ADDRESS(34,7))-INDIRECT(ADDRESS(34,6)))</f>
        <v>11</v>
      </c>
      <c r="K15" s="49"/>
      <c r="L15" s="53">
        <f ca="1">IF(LEN(INDIRECT(ADDRESS(ROW()-1, COLUMN())))=1,"",INDIRECT(ADDRESS(44,6))-INDIRECT(ADDRESS(44,7)))</f>
        <v>-6</v>
      </c>
      <c r="M15" s="89"/>
      <c r="N15" s="17">
        <f ca="1">IF(COUNT(F15:L15)=0,"",SUM(F15:L15))</f>
        <v>8</v>
      </c>
      <c r="O15" s="107"/>
    </row>
    <row r="16" spans="2:15" ht="24" customHeight="1" x14ac:dyDescent="0.25">
      <c r="B16" s="110">
        <v>7</v>
      </c>
      <c r="C16" s="111" t="s">
        <v>25</v>
      </c>
      <c r="D16" s="112"/>
      <c r="E16" s="113"/>
      <c r="F16" s="40" t="str">
        <f ca="1">INDIRECT(ADDRESS(54,6))&amp;":"&amp;INDIRECT(ADDRESS(54,7))</f>
        <v>5:13</v>
      </c>
      <c r="G16" s="41" t="str">
        <f ca="1">INDIRECT(ADDRESS(22,7))&amp;":"&amp;INDIRECT(ADDRESS(22,6))</f>
        <v>13:9</v>
      </c>
      <c r="H16" s="41" t="str">
        <f ca="1">INDIRECT(ADDRESS(28,6))&amp;":"&amp;INDIRECT(ADDRESS(28,7))</f>
        <v>7:13</v>
      </c>
      <c r="I16" s="41" t="str">
        <f ca="1">INDIRECT(ADDRESS(33,7))&amp;":"&amp;INDIRECT(ADDRESS(33,6))</f>
        <v>12:9</v>
      </c>
      <c r="J16" s="41" t="str">
        <f ca="1">INDIRECT(ADDRESS(37,6))&amp;":"&amp;INDIRECT(ADDRESS(37,7))</f>
        <v>13:8</v>
      </c>
      <c r="K16" s="50" t="str">
        <f ca="1">INDIRECT(ADDRESS(44,7))&amp;":"&amp;INDIRECT(ADDRESS(44,6))</f>
        <v>10:4</v>
      </c>
      <c r="L16" s="42"/>
      <c r="M16" s="89">
        <f ca="1">IF(COUNT(F17:L17)=0,"",COUNTIF(F17:L17,"&gt;0")+0.5*COUNTIF(F17:L17,0))</f>
        <v>4</v>
      </c>
      <c r="N16" s="43"/>
      <c r="O16" s="114">
        <v>2</v>
      </c>
    </row>
    <row r="17" spans="2:15" ht="24" customHeight="1" thickBot="1" x14ac:dyDescent="0.3">
      <c r="B17" s="93"/>
      <c r="C17" s="94"/>
      <c r="D17" s="95"/>
      <c r="E17" s="96"/>
      <c r="F17" s="20">
        <f ca="1">IF(LEN(INDIRECT(ADDRESS(ROW()-1, COLUMN())))=1,"",INDIRECT(ADDRESS(54,6))-INDIRECT(ADDRESS(54,7)))</f>
        <v>-8</v>
      </c>
      <c r="G17" s="19">
        <f ca="1">IF(LEN(INDIRECT(ADDRESS(ROW()-1, COLUMN())))=1,"",INDIRECT(ADDRESS(22,7))-INDIRECT(ADDRESS(22,6)))</f>
        <v>4</v>
      </c>
      <c r="H17" s="19">
        <f ca="1">IF(LEN(INDIRECT(ADDRESS(ROW()-1, COLUMN())))=1,"",INDIRECT(ADDRESS(28,6))-INDIRECT(ADDRESS(28,7)))</f>
        <v>-6</v>
      </c>
      <c r="I17" s="19">
        <f ca="1">IF(LEN(INDIRECT(ADDRESS(ROW()-1, COLUMN())))=1,"",INDIRECT(ADDRESS(33,7))-INDIRECT(ADDRESS(33,6)))</f>
        <v>3</v>
      </c>
      <c r="J17" s="19">
        <f ca="1">IF(LEN(INDIRECT(ADDRESS(ROW()-1, COLUMN())))=1,"",INDIRECT(ADDRESS(37,6))-INDIRECT(ADDRESS(37,7)))</f>
        <v>5</v>
      </c>
      <c r="K17" s="51">
        <f ca="1">IF(LEN(INDIRECT(ADDRESS(ROW()-1, COLUMN())))=1,"",INDIRECT(ADDRESS(44,7))-INDIRECT(ADDRESS(44,6)))</f>
        <v>6</v>
      </c>
      <c r="L17" s="16"/>
      <c r="M17" s="97"/>
      <c r="N17" s="19"/>
      <c r="O17" s="109"/>
    </row>
    <row r="18" spans="2:15" x14ac:dyDescent="0.25">
      <c r="M18"/>
    </row>
    <row r="19" spans="2:15" x14ac:dyDescent="0.25">
      <c r="M19"/>
    </row>
    <row r="20" spans="2:15" x14ac:dyDescent="0.25">
      <c r="M20"/>
    </row>
    <row r="21" spans="2:15" ht="30" customHeight="1" thickBot="1" x14ac:dyDescent="0.3">
      <c r="B21" s="99" t="s">
        <v>4</v>
      </c>
      <c r="C21" s="99"/>
      <c r="D21" s="99"/>
      <c r="E21" s="99"/>
      <c r="F21" s="99"/>
      <c r="G21" s="99"/>
      <c r="H21" s="99"/>
      <c r="I21" s="99"/>
      <c r="J21" s="99"/>
      <c r="K21" s="99"/>
      <c r="M21"/>
    </row>
    <row r="22" spans="2:15" ht="30" customHeight="1" thickBot="1" x14ac:dyDescent="0.3">
      <c r="B22" s="5">
        <v>2</v>
      </c>
      <c r="C22" s="100" t="str">
        <f ca="1">IF(ISBLANK(INDIRECT(ADDRESS(B22*2+2,3))),"",INDIRECT(ADDRESS(B22*2+2,3)))</f>
        <v>Борисенко Дмитрий</v>
      </c>
      <c r="D22" s="100"/>
      <c r="E22" s="101"/>
      <c r="F22" s="26">
        <v>9</v>
      </c>
      <c r="G22" s="27">
        <v>13</v>
      </c>
      <c r="H22" s="102" t="str">
        <f ca="1">IF(ISBLANK(INDIRECT(ADDRESS(K22*2+2,3))),"",INDIRECT(ADDRESS(K22*2+2,3)))</f>
        <v>Соколовский Павел</v>
      </c>
      <c r="I22" s="100"/>
      <c r="J22" s="100"/>
      <c r="K22" s="5">
        <v>7</v>
      </c>
      <c r="L22" s="35" t="s">
        <v>11</v>
      </c>
      <c r="M22" s="29">
        <v>1</v>
      </c>
    </row>
    <row r="23" spans="2:15" ht="30" customHeight="1" thickBot="1" x14ac:dyDescent="0.3">
      <c r="B23" s="5">
        <v>3</v>
      </c>
      <c r="C23" s="100" t="str">
        <f ca="1">IF(ISBLANK(INDIRECT(ADDRESS(B23*2+2,3))),"",INDIRECT(ADDRESS(B23*2+2,3)))</f>
        <v>Коржов Владимир</v>
      </c>
      <c r="D23" s="100"/>
      <c r="E23" s="101"/>
      <c r="F23" s="26">
        <v>10</v>
      </c>
      <c r="G23" s="27">
        <v>8</v>
      </c>
      <c r="H23" s="102" t="str">
        <f ca="1">IF(ISBLANK(INDIRECT(ADDRESS(K23*2+2,3))),"",INDIRECT(ADDRESS(K23*2+2,3)))</f>
        <v>Пищанский Виктор</v>
      </c>
      <c r="I23" s="100"/>
      <c r="J23" s="100"/>
      <c r="K23" s="5">
        <v>6</v>
      </c>
      <c r="L23" s="35" t="s">
        <v>11</v>
      </c>
      <c r="M23" s="29">
        <v>2</v>
      </c>
    </row>
    <row r="24" spans="2:15" ht="30" customHeight="1" thickBot="1" x14ac:dyDescent="0.3">
      <c r="B24" s="5">
        <v>4</v>
      </c>
      <c r="C24" s="100" t="str">
        <f ca="1">IF(ISBLANK(INDIRECT(ADDRESS(B24*2+2,3))),"",INDIRECT(ADDRESS(B24*2+2,3)))</f>
        <v>Шустваль Евгений</v>
      </c>
      <c r="D24" s="100"/>
      <c r="E24" s="101"/>
      <c r="F24" s="26">
        <v>13</v>
      </c>
      <c r="G24" s="27">
        <v>10</v>
      </c>
      <c r="H24" s="102" t="str">
        <f ca="1">IF(ISBLANK(INDIRECT(ADDRESS(K24*2+2,3))),"",INDIRECT(ADDRESS(K24*2+2,3)))</f>
        <v>Татьянц Дмитрий</v>
      </c>
      <c r="I24" s="100"/>
      <c r="J24" s="100"/>
      <c r="K24" s="5">
        <v>5</v>
      </c>
      <c r="L24" s="35" t="s">
        <v>11</v>
      </c>
      <c r="M24" s="29">
        <v>3</v>
      </c>
    </row>
    <row r="25" spans="2:15" ht="30" customHeight="1" x14ac:dyDescent="0.25"/>
    <row r="26" spans="2:15" ht="30" customHeight="1" thickBot="1" x14ac:dyDescent="0.3">
      <c r="B26" s="99" t="s">
        <v>5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2:15" ht="30" customHeight="1" thickBot="1" x14ac:dyDescent="0.3">
      <c r="B27" s="5">
        <v>6</v>
      </c>
      <c r="C27" s="100" t="str">
        <f ca="1">IF(ISBLANK(INDIRECT(ADDRESS(B27*2+2,3))),"",INDIRECT(ADDRESS(B27*2+2,3)))</f>
        <v>Пищанский Виктор</v>
      </c>
      <c r="D27" s="100"/>
      <c r="E27" s="101"/>
      <c r="F27" s="26">
        <v>8</v>
      </c>
      <c r="G27" s="27">
        <v>11</v>
      </c>
      <c r="H27" s="102" t="str">
        <f ca="1">IF(ISBLANK(INDIRECT(ADDRESS(K27*2+2,3))),"",INDIRECT(ADDRESS(K27*2+2,3)))</f>
        <v>Шустваль Евгений</v>
      </c>
      <c r="I27" s="100"/>
      <c r="J27" s="100"/>
      <c r="K27" s="5">
        <v>4</v>
      </c>
      <c r="L27" s="35" t="s">
        <v>11</v>
      </c>
      <c r="M27" s="29">
        <v>4</v>
      </c>
    </row>
    <row r="28" spans="2:15" ht="30" customHeight="1" thickBot="1" x14ac:dyDescent="0.3">
      <c r="B28" s="5">
        <v>7</v>
      </c>
      <c r="C28" s="100" t="str">
        <f ca="1">IF(ISBLANK(INDIRECT(ADDRESS(B28*2+2,3))),"",INDIRECT(ADDRESS(B28*2+2,3)))</f>
        <v>Соколовский Павел</v>
      </c>
      <c r="D28" s="100"/>
      <c r="E28" s="101"/>
      <c r="F28" s="26">
        <v>7</v>
      </c>
      <c r="G28" s="27">
        <v>13</v>
      </c>
      <c r="H28" s="102" t="str">
        <f ca="1">IF(ISBLANK(INDIRECT(ADDRESS(K28*2+2,3))),"",INDIRECT(ADDRESS(K28*2+2,3)))</f>
        <v>Коржов Владимир</v>
      </c>
      <c r="I28" s="100"/>
      <c r="J28" s="100"/>
      <c r="K28" s="5">
        <v>3</v>
      </c>
      <c r="L28" s="35" t="s">
        <v>11</v>
      </c>
      <c r="M28" s="29">
        <v>5</v>
      </c>
    </row>
    <row r="29" spans="2:15" ht="30" customHeight="1" thickBot="1" x14ac:dyDescent="0.3">
      <c r="B29" s="5">
        <v>1</v>
      </c>
      <c r="C29" s="100" t="str">
        <f ca="1">IF(ISBLANK(INDIRECT(ADDRESS(B29*2+2,3))),"",INDIRECT(ADDRESS(B29*2+2,3)))</f>
        <v>Ерёмин Павел</v>
      </c>
      <c r="D29" s="100"/>
      <c r="E29" s="101"/>
      <c r="F29" s="26">
        <v>7</v>
      </c>
      <c r="G29" s="27">
        <v>13</v>
      </c>
      <c r="H29" s="102" t="str">
        <f ca="1">IF(ISBLANK(INDIRECT(ADDRESS(K29*2+2,3))),"",INDIRECT(ADDRESS(K29*2+2,3)))</f>
        <v>Борисенко Дмитрий</v>
      </c>
      <c r="I29" s="100"/>
      <c r="J29" s="100"/>
      <c r="K29" s="5">
        <v>2</v>
      </c>
      <c r="L29" s="35" t="s">
        <v>11</v>
      </c>
      <c r="M29" s="29">
        <v>6</v>
      </c>
    </row>
    <row r="30" spans="2:15" ht="30" customHeight="1" x14ac:dyDescent="0.25"/>
    <row r="31" spans="2:15" ht="30" customHeight="1" thickBot="1" x14ac:dyDescent="0.3">
      <c r="B31" s="99" t="s">
        <v>6</v>
      </c>
      <c r="C31" s="99"/>
      <c r="D31" s="99"/>
      <c r="E31" s="99"/>
      <c r="F31" s="99"/>
      <c r="G31" s="99"/>
      <c r="H31" s="99"/>
      <c r="I31" s="99"/>
      <c r="J31" s="99"/>
      <c r="K31" s="99"/>
    </row>
    <row r="32" spans="2:15" ht="30" customHeight="1" thickBot="1" x14ac:dyDescent="0.3">
      <c r="B32" s="5">
        <v>3</v>
      </c>
      <c r="C32" s="100" t="str">
        <f ca="1">IF(ISBLANK(INDIRECT(ADDRESS(B32*2+2,3))),"",INDIRECT(ADDRESS(B32*2+2,3)))</f>
        <v>Коржов Владимир</v>
      </c>
      <c r="D32" s="100"/>
      <c r="E32" s="101"/>
      <c r="F32" s="26">
        <v>7</v>
      </c>
      <c r="G32" s="27">
        <v>13</v>
      </c>
      <c r="H32" s="102" t="str">
        <f ca="1">IF(ISBLANK(INDIRECT(ADDRESS(K32*2+2,3))),"",INDIRECT(ADDRESS(K32*2+2,3)))</f>
        <v>Ерёмин Павел</v>
      </c>
      <c r="I32" s="100"/>
      <c r="J32" s="100"/>
      <c r="K32" s="5">
        <v>1</v>
      </c>
      <c r="L32" s="35" t="s">
        <v>11</v>
      </c>
      <c r="M32" s="29">
        <v>1</v>
      </c>
    </row>
    <row r="33" spans="2:13" ht="30" customHeight="1" thickBot="1" x14ac:dyDescent="0.3">
      <c r="B33" s="5">
        <v>4</v>
      </c>
      <c r="C33" s="100" t="str">
        <f ca="1">IF(ISBLANK(INDIRECT(ADDRESS(B33*2+2,3))),"",INDIRECT(ADDRESS(B33*2+2,3)))</f>
        <v>Шустваль Евгений</v>
      </c>
      <c r="D33" s="100"/>
      <c r="E33" s="101"/>
      <c r="F33" s="26">
        <v>9</v>
      </c>
      <c r="G33" s="27">
        <v>12</v>
      </c>
      <c r="H33" s="102" t="str">
        <f ca="1">IF(ISBLANK(INDIRECT(ADDRESS(K33*2+2,3))),"",INDIRECT(ADDRESS(K33*2+2,3)))</f>
        <v>Соколовский Павел</v>
      </c>
      <c r="I33" s="100"/>
      <c r="J33" s="100"/>
      <c r="K33" s="5">
        <v>7</v>
      </c>
      <c r="L33" s="35" t="s">
        <v>11</v>
      </c>
      <c r="M33" s="29">
        <v>2</v>
      </c>
    </row>
    <row r="34" spans="2:13" ht="30" customHeight="1" thickBot="1" x14ac:dyDescent="0.3">
      <c r="B34" s="5">
        <v>5</v>
      </c>
      <c r="C34" s="100" t="str">
        <f ca="1">IF(ISBLANK(INDIRECT(ADDRESS(B34*2+2,3))),"",INDIRECT(ADDRESS(B34*2+2,3)))</f>
        <v>Татьянц Дмитрий</v>
      </c>
      <c r="D34" s="100"/>
      <c r="E34" s="101"/>
      <c r="F34" s="26">
        <v>2</v>
      </c>
      <c r="G34" s="27">
        <v>13</v>
      </c>
      <c r="H34" s="102" t="str">
        <f ca="1">IF(ISBLANK(INDIRECT(ADDRESS(K34*2+2,3))),"",INDIRECT(ADDRESS(K34*2+2,3)))</f>
        <v>Пищанский Виктор</v>
      </c>
      <c r="I34" s="100"/>
      <c r="J34" s="100"/>
      <c r="K34" s="5">
        <v>6</v>
      </c>
      <c r="L34" s="35" t="s">
        <v>11</v>
      </c>
      <c r="M34" s="29">
        <v>3</v>
      </c>
    </row>
    <row r="35" spans="2:13" ht="30" customHeight="1" x14ac:dyDescent="0.25"/>
    <row r="36" spans="2:13" ht="30" customHeight="1" thickBot="1" x14ac:dyDescent="0.3">
      <c r="B36" s="99" t="s">
        <v>8</v>
      </c>
      <c r="C36" s="99"/>
      <c r="D36" s="99"/>
      <c r="E36" s="99"/>
      <c r="F36" s="99"/>
      <c r="G36" s="99"/>
      <c r="H36" s="99"/>
      <c r="I36" s="99"/>
      <c r="J36" s="99"/>
      <c r="K36" s="99"/>
    </row>
    <row r="37" spans="2:13" ht="30" customHeight="1" thickBot="1" x14ac:dyDescent="0.3">
      <c r="B37" s="5">
        <v>7</v>
      </c>
      <c r="C37" s="100" t="str">
        <f ca="1">IF(ISBLANK(INDIRECT(ADDRESS(B37*2+2,3))),"",INDIRECT(ADDRESS(B37*2+2,3)))</f>
        <v>Соколовский Павел</v>
      </c>
      <c r="D37" s="100"/>
      <c r="E37" s="101"/>
      <c r="F37" s="26">
        <v>13</v>
      </c>
      <c r="G37" s="27">
        <v>8</v>
      </c>
      <c r="H37" s="102" t="str">
        <f ca="1">IF(ISBLANK(INDIRECT(ADDRESS(K37*2+2,3))),"",INDIRECT(ADDRESS(K37*2+2,3)))</f>
        <v>Татьянц Дмитрий</v>
      </c>
      <c r="I37" s="100"/>
      <c r="J37" s="100"/>
      <c r="K37" s="5">
        <v>5</v>
      </c>
      <c r="L37" s="35" t="s">
        <v>11</v>
      </c>
      <c r="M37" s="29">
        <v>4</v>
      </c>
    </row>
    <row r="38" spans="2:13" ht="30" customHeight="1" thickBot="1" x14ac:dyDescent="0.3">
      <c r="B38" s="5">
        <v>1</v>
      </c>
      <c r="C38" s="100" t="str">
        <f ca="1">IF(ISBLANK(INDIRECT(ADDRESS(B38*2+2,3))),"",INDIRECT(ADDRESS(B38*2+2,3)))</f>
        <v>Ерёмин Павел</v>
      </c>
      <c r="D38" s="100"/>
      <c r="E38" s="101"/>
      <c r="F38" s="26">
        <v>9</v>
      </c>
      <c r="G38" s="27">
        <v>13</v>
      </c>
      <c r="H38" s="102" t="str">
        <f ca="1">IF(ISBLANK(INDIRECT(ADDRESS(K38*2+2,3))),"",INDIRECT(ADDRESS(K38*2+2,3)))</f>
        <v>Шустваль Евгений</v>
      </c>
      <c r="I38" s="100"/>
      <c r="J38" s="100"/>
      <c r="K38" s="5">
        <v>4</v>
      </c>
      <c r="L38" s="35" t="s">
        <v>11</v>
      </c>
      <c r="M38" s="29">
        <v>5</v>
      </c>
    </row>
    <row r="39" spans="2:13" ht="30" customHeight="1" thickBot="1" x14ac:dyDescent="0.3">
      <c r="B39" s="5">
        <v>2</v>
      </c>
      <c r="C39" s="100" t="str">
        <f ca="1">IF(ISBLANK(INDIRECT(ADDRESS(B39*2+2,3))),"",INDIRECT(ADDRESS(B39*2+2,3)))</f>
        <v>Борисенко Дмитрий</v>
      </c>
      <c r="D39" s="100"/>
      <c r="E39" s="101"/>
      <c r="F39" s="26">
        <v>13</v>
      </c>
      <c r="G39" s="27">
        <v>3</v>
      </c>
      <c r="H39" s="102" t="str">
        <f ca="1">IF(ISBLANK(INDIRECT(ADDRESS(K39*2+2,3))),"",INDIRECT(ADDRESS(K39*2+2,3)))</f>
        <v>Коржов Владимир</v>
      </c>
      <c r="I39" s="100"/>
      <c r="J39" s="100"/>
      <c r="K39" s="5">
        <v>3</v>
      </c>
      <c r="L39" s="35" t="s">
        <v>11</v>
      </c>
      <c r="M39" s="29">
        <v>6</v>
      </c>
    </row>
    <row r="40" spans="2:13" ht="30" customHeight="1" x14ac:dyDescent="0.25"/>
    <row r="41" spans="2:13" ht="30" customHeight="1" thickBot="1" x14ac:dyDescent="0.3">
      <c r="B41" s="99" t="s">
        <v>9</v>
      </c>
      <c r="C41" s="99"/>
      <c r="D41" s="99"/>
      <c r="E41" s="99"/>
      <c r="F41" s="99"/>
      <c r="G41" s="99"/>
      <c r="H41" s="99"/>
      <c r="I41" s="99"/>
      <c r="J41" s="99"/>
      <c r="K41" s="99"/>
    </row>
    <row r="42" spans="2:13" ht="30" customHeight="1" thickBot="1" x14ac:dyDescent="0.3">
      <c r="B42" s="5">
        <v>4</v>
      </c>
      <c r="C42" s="100" t="str">
        <f ca="1">IF(ISBLANK(INDIRECT(ADDRESS(B42*2+2,3))),"",INDIRECT(ADDRESS(B42*2+2,3)))</f>
        <v>Шустваль Евгений</v>
      </c>
      <c r="D42" s="100"/>
      <c r="E42" s="101"/>
      <c r="F42" s="26">
        <v>6</v>
      </c>
      <c r="G42" s="27">
        <v>8</v>
      </c>
      <c r="H42" s="102" t="str">
        <f ca="1">IF(ISBLANK(INDIRECT(ADDRESS(K42*2+2,3))),"",INDIRECT(ADDRESS(K42*2+2,3)))</f>
        <v>Борисенко Дмитрий</v>
      </c>
      <c r="I42" s="100"/>
      <c r="J42" s="100"/>
      <c r="K42" s="5">
        <v>2</v>
      </c>
      <c r="L42" s="35" t="s">
        <v>11</v>
      </c>
      <c r="M42" s="29">
        <v>1</v>
      </c>
    </row>
    <row r="43" spans="2:13" ht="30" customHeight="1" thickBot="1" x14ac:dyDescent="0.3">
      <c r="B43" s="5">
        <v>5</v>
      </c>
      <c r="C43" s="100" t="str">
        <f ca="1">IF(ISBLANK(INDIRECT(ADDRESS(B43*2+2,3))),"",INDIRECT(ADDRESS(B43*2+2,3)))</f>
        <v>Татьянц Дмитрий</v>
      </c>
      <c r="D43" s="100"/>
      <c r="E43" s="101"/>
      <c r="F43" s="26">
        <v>13</v>
      </c>
      <c r="G43" s="27">
        <v>11</v>
      </c>
      <c r="H43" s="102" t="str">
        <f ca="1">IF(ISBLANK(INDIRECT(ADDRESS(K43*2+2,3))),"",INDIRECT(ADDRESS(K43*2+2,3)))</f>
        <v>Ерёмин Павел</v>
      </c>
      <c r="I43" s="100"/>
      <c r="J43" s="100"/>
      <c r="K43" s="5">
        <v>1</v>
      </c>
      <c r="L43" s="35" t="s">
        <v>11</v>
      </c>
      <c r="M43" s="29">
        <v>2</v>
      </c>
    </row>
    <row r="44" spans="2:13" ht="30" customHeight="1" thickBot="1" x14ac:dyDescent="0.3">
      <c r="B44" s="5">
        <v>6</v>
      </c>
      <c r="C44" s="100" t="str">
        <f ca="1">IF(ISBLANK(INDIRECT(ADDRESS(B44*2+2,3))),"",INDIRECT(ADDRESS(B44*2+2,3)))</f>
        <v>Пищанский Виктор</v>
      </c>
      <c r="D44" s="100"/>
      <c r="E44" s="101"/>
      <c r="F44" s="26">
        <v>4</v>
      </c>
      <c r="G44" s="27">
        <v>10</v>
      </c>
      <c r="H44" s="102" t="str">
        <f ca="1">IF(ISBLANK(INDIRECT(ADDRESS(K44*2+2,3))),"",INDIRECT(ADDRESS(K44*2+2,3)))</f>
        <v>Соколовский Павел</v>
      </c>
      <c r="I44" s="100"/>
      <c r="J44" s="100"/>
      <c r="K44" s="5">
        <v>7</v>
      </c>
      <c r="L44" s="35" t="s">
        <v>11</v>
      </c>
      <c r="M44" s="29">
        <v>3</v>
      </c>
    </row>
    <row r="45" spans="2:13" ht="30" customHeight="1" x14ac:dyDescent="0.25"/>
    <row r="46" spans="2:13" ht="30" customHeight="1" thickBot="1" x14ac:dyDescent="0.3">
      <c r="B46" s="99" t="s">
        <v>12</v>
      </c>
      <c r="C46" s="99"/>
      <c r="D46" s="99"/>
      <c r="E46" s="99"/>
      <c r="F46" s="99"/>
      <c r="G46" s="99"/>
      <c r="H46" s="99"/>
      <c r="I46" s="99"/>
      <c r="J46" s="99"/>
      <c r="K46" s="99"/>
    </row>
    <row r="47" spans="2:13" ht="30" customHeight="1" thickBot="1" x14ac:dyDescent="0.3">
      <c r="B47" s="5">
        <v>1</v>
      </c>
      <c r="C47" s="100" t="str">
        <f ca="1">IF(ISBLANK(INDIRECT(ADDRESS(B47*2+2,3))),"",INDIRECT(ADDRESS(B47*2+2,3)))</f>
        <v>Ерёмин Павел</v>
      </c>
      <c r="D47" s="100"/>
      <c r="E47" s="101"/>
      <c r="F47" s="26">
        <v>1</v>
      </c>
      <c r="G47" s="27">
        <v>13</v>
      </c>
      <c r="H47" s="102" t="str">
        <f ca="1">IF(ISBLANK(INDIRECT(ADDRESS(K47*2+2,3))),"",INDIRECT(ADDRESS(K47*2+2,3)))</f>
        <v>Пищанский Виктор</v>
      </c>
      <c r="I47" s="100"/>
      <c r="J47" s="100"/>
      <c r="K47" s="5">
        <v>6</v>
      </c>
      <c r="L47" s="35" t="s">
        <v>11</v>
      </c>
      <c r="M47" s="29">
        <v>4</v>
      </c>
    </row>
    <row r="48" spans="2:13" ht="30" customHeight="1" thickBot="1" x14ac:dyDescent="0.3">
      <c r="B48" s="5">
        <v>2</v>
      </c>
      <c r="C48" s="100" t="str">
        <f ca="1">IF(ISBLANK(INDIRECT(ADDRESS(B48*2+2,3))),"",INDIRECT(ADDRESS(B48*2+2,3)))</f>
        <v>Борисенко Дмитрий</v>
      </c>
      <c r="D48" s="100"/>
      <c r="E48" s="101"/>
      <c r="F48" s="26">
        <v>12</v>
      </c>
      <c r="G48" s="27">
        <v>9</v>
      </c>
      <c r="H48" s="102" t="str">
        <f ca="1">IF(ISBLANK(INDIRECT(ADDRESS(K48*2+2,3))),"",INDIRECT(ADDRESS(K48*2+2,3)))</f>
        <v>Татьянц Дмитрий</v>
      </c>
      <c r="I48" s="100"/>
      <c r="J48" s="100"/>
      <c r="K48" s="5">
        <v>5</v>
      </c>
      <c r="L48" s="35" t="s">
        <v>11</v>
      </c>
      <c r="M48" s="29">
        <v>5</v>
      </c>
    </row>
    <row r="49" spans="2:13" ht="30" customHeight="1" thickBot="1" x14ac:dyDescent="0.3">
      <c r="B49" s="5">
        <v>3</v>
      </c>
      <c r="C49" s="100" t="str">
        <f ca="1">IF(ISBLANK(INDIRECT(ADDRESS(B49*2+2,3))),"",INDIRECT(ADDRESS(B49*2+2,3)))</f>
        <v>Коржов Владимир</v>
      </c>
      <c r="D49" s="100"/>
      <c r="E49" s="101"/>
      <c r="F49" s="26">
        <v>11</v>
      </c>
      <c r="G49" s="27">
        <v>10</v>
      </c>
      <c r="H49" s="102" t="str">
        <f ca="1">IF(ISBLANK(INDIRECT(ADDRESS(K49*2+2,3))),"",INDIRECT(ADDRESS(K49*2+2,3)))</f>
        <v>Шустваль Евгений</v>
      </c>
      <c r="I49" s="100"/>
      <c r="J49" s="100"/>
      <c r="K49" s="5">
        <v>4</v>
      </c>
      <c r="L49" s="35" t="s">
        <v>11</v>
      </c>
      <c r="M49" s="29">
        <v>6</v>
      </c>
    </row>
    <row r="50" spans="2:13" ht="30" customHeight="1" x14ac:dyDescent="0.25"/>
    <row r="51" spans="2:13" ht="30" customHeight="1" thickBot="1" x14ac:dyDescent="0.3">
      <c r="B51" s="99" t="s">
        <v>13</v>
      </c>
      <c r="C51" s="99"/>
      <c r="D51" s="99"/>
      <c r="E51" s="99"/>
      <c r="F51" s="99"/>
      <c r="G51" s="99"/>
      <c r="H51" s="99"/>
      <c r="I51" s="99"/>
      <c r="J51" s="99"/>
      <c r="K51" s="99"/>
    </row>
    <row r="52" spans="2:13" ht="30" customHeight="1" thickBot="1" x14ac:dyDescent="0.3">
      <c r="B52" s="5">
        <v>5</v>
      </c>
      <c r="C52" s="100" t="str">
        <f ca="1">IF(ISBLANK(INDIRECT(ADDRESS(B52*2+2,3))),"",INDIRECT(ADDRESS(B52*2+2,3)))</f>
        <v>Татьянц Дмитрий</v>
      </c>
      <c r="D52" s="100"/>
      <c r="E52" s="101"/>
      <c r="F52" s="26">
        <v>13</v>
      </c>
      <c r="G52" s="27">
        <v>1</v>
      </c>
      <c r="H52" s="102" t="str">
        <f ca="1">IF(ISBLANK(INDIRECT(ADDRESS(K52*2+2,3))),"",INDIRECT(ADDRESS(K52*2+2,3)))</f>
        <v>Коржов Владимир</v>
      </c>
      <c r="I52" s="100"/>
      <c r="J52" s="100"/>
      <c r="K52" s="5">
        <v>3</v>
      </c>
      <c r="L52" s="35" t="s">
        <v>11</v>
      </c>
      <c r="M52" s="29"/>
    </row>
    <row r="53" spans="2:13" ht="30" customHeight="1" thickBot="1" x14ac:dyDescent="0.3">
      <c r="B53" s="5">
        <v>6</v>
      </c>
      <c r="C53" s="100" t="str">
        <f ca="1">IF(ISBLANK(INDIRECT(ADDRESS(B53*2+2,3))),"",INDIRECT(ADDRESS(B53*2+2,3)))</f>
        <v>Пищанский Виктор</v>
      </c>
      <c r="D53" s="100"/>
      <c r="E53" s="101"/>
      <c r="F53" s="26">
        <v>7</v>
      </c>
      <c r="G53" s="27">
        <v>11</v>
      </c>
      <c r="H53" s="102" t="str">
        <f ca="1">IF(ISBLANK(INDIRECT(ADDRESS(K53*2+2,3))),"",INDIRECT(ADDRESS(K53*2+2,3)))</f>
        <v>Борисенко Дмитрий</v>
      </c>
      <c r="I53" s="100"/>
      <c r="J53" s="100"/>
      <c r="K53" s="5">
        <v>2</v>
      </c>
      <c r="L53" s="35" t="s">
        <v>11</v>
      </c>
      <c r="M53" s="29"/>
    </row>
    <row r="54" spans="2:13" ht="30" customHeight="1" thickBot="1" x14ac:dyDescent="0.3">
      <c r="B54" s="5">
        <v>7</v>
      </c>
      <c r="C54" s="100" t="str">
        <f ca="1">IF(ISBLANK(INDIRECT(ADDRESS(B54*2+2,3))),"",INDIRECT(ADDRESS(B54*2+2,3)))</f>
        <v>Соколовский Павел</v>
      </c>
      <c r="D54" s="100"/>
      <c r="E54" s="101"/>
      <c r="F54" s="26">
        <v>5</v>
      </c>
      <c r="G54" s="27">
        <v>13</v>
      </c>
      <c r="H54" s="102" t="str">
        <f ca="1">IF(ISBLANK(INDIRECT(ADDRESS(K54*2+2,3))),"",INDIRECT(ADDRESS(K54*2+2,3)))</f>
        <v>Ерёмин Павел</v>
      </c>
      <c r="I54" s="100"/>
      <c r="J54" s="100"/>
      <c r="K54" s="5">
        <v>1</v>
      </c>
      <c r="L54" s="35" t="s">
        <v>11</v>
      </c>
      <c r="M54" s="29"/>
    </row>
    <row r="57" spans="2:13" ht="21" x14ac:dyDescent="0.35">
      <c r="B57" s="132" t="s">
        <v>58</v>
      </c>
      <c r="C57" s="132"/>
      <c r="D57" s="132"/>
      <c r="E57" s="132"/>
      <c r="F57" s="132"/>
      <c r="G57" s="132"/>
      <c r="H57" s="133"/>
    </row>
    <row r="58" spans="2:13" ht="21" x14ac:dyDescent="0.35">
      <c r="B58" s="132"/>
      <c r="C58" s="132"/>
      <c r="D58" s="132"/>
      <c r="E58" s="132"/>
      <c r="F58" s="132"/>
      <c r="G58" s="132"/>
      <c r="H58" s="133"/>
    </row>
    <row r="59" spans="2:13" ht="21" x14ac:dyDescent="0.35">
      <c r="B59" s="132"/>
      <c r="C59" s="132"/>
      <c r="D59" s="132"/>
      <c r="E59" s="132"/>
      <c r="F59" s="132"/>
      <c r="G59" s="132"/>
      <c r="H59" s="133"/>
    </row>
    <row r="60" spans="2:13" ht="21" x14ac:dyDescent="0.35">
      <c r="B60" s="132" t="s">
        <v>59</v>
      </c>
      <c r="C60" s="132"/>
      <c r="D60" s="132"/>
      <c r="E60" s="132"/>
      <c r="F60" s="132"/>
      <c r="G60" s="132"/>
      <c r="H60" s="133"/>
    </row>
  </sheetData>
  <mergeCells count="79">
    <mergeCell ref="B51:K51"/>
    <mergeCell ref="C52:E52"/>
    <mergeCell ref="H52:J52"/>
    <mergeCell ref="C53:E53"/>
    <mergeCell ref="H53:J53"/>
    <mergeCell ref="C54:E54"/>
    <mergeCell ref="H54:J54"/>
    <mergeCell ref="B46:K46"/>
    <mergeCell ref="C47:E47"/>
    <mergeCell ref="H47:J47"/>
    <mergeCell ref="C48:E48"/>
    <mergeCell ref="H48:J48"/>
    <mergeCell ref="C49:E49"/>
    <mergeCell ref="H49:J49"/>
    <mergeCell ref="B41:K41"/>
    <mergeCell ref="C42:E42"/>
    <mergeCell ref="H42:J42"/>
    <mergeCell ref="C43:E43"/>
    <mergeCell ref="H43:J43"/>
    <mergeCell ref="C44:E44"/>
    <mergeCell ref="H44:J44"/>
    <mergeCell ref="B36:K36"/>
    <mergeCell ref="C37:E37"/>
    <mergeCell ref="H37:J37"/>
    <mergeCell ref="C38:E38"/>
    <mergeCell ref="H38:J38"/>
    <mergeCell ref="C39:E39"/>
    <mergeCell ref="H39:J39"/>
    <mergeCell ref="B31:K31"/>
    <mergeCell ref="C32:E32"/>
    <mergeCell ref="H32:J32"/>
    <mergeCell ref="C33:E33"/>
    <mergeCell ref="H33:J33"/>
    <mergeCell ref="C34:E34"/>
    <mergeCell ref="H34:J34"/>
    <mergeCell ref="B26:K26"/>
    <mergeCell ref="C27:E27"/>
    <mergeCell ref="H27:J27"/>
    <mergeCell ref="C28:E28"/>
    <mergeCell ref="H28:J28"/>
    <mergeCell ref="C29:E29"/>
    <mergeCell ref="H29:J29"/>
    <mergeCell ref="B21:K21"/>
    <mergeCell ref="C22:E22"/>
    <mergeCell ref="H22:J22"/>
    <mergeCell ref="C23:E23"/>
    <mergeCell ref="H23:J23"/>
    <mergeCell ref="C24:E24"/>
    <mergeCell ref="H24:J24"/>
    <mergeCell ref="B14:B15"/>
    <mergeCell ref="C14:E15"/>
    <mergeCell ref="M14:M15"/>
    <mergeCell ref="O14:O15"/>
    <mergeCell ref="B16:B17"/>
    <mergeCell ref="C16:E17"/>
    <mergeCell ref="M16:M17"/>
    <mergeCell ref="O16:O17"/>
    <mergeCell ref="B10:B11"/>
    <mergeCell ref="C10:E11"/>
    <mergeCell ref="M10:M11"/>
    <mergeCell ref="O10:O11"/>
    <mergeCell ref="B12:B13"/>
    <mergeCell ref="C12:E13"/>
    <mergeCell ref="M12:M13"/>
    <mergeCell ref="O12:O13"/>
    <mergeCell ref="B6:B7"/>
    <mergeCell ref="C6:E7"/>
    <mergeCell ref="M6:M7"/>
    <mergeCell ref="O6:O7"/>
    <mergeCell ref="B8:B9"/>
    <mergeCell ref="C8:E9"/>
    <mergeCell ref="M8:M9"/>
    <mergeCell ref="O8:O9"/>
    <mergeCell ref="C3:E3"/>
    <mergeCell ref="B4:B5"/>
    <mergeCell ref="C4:E5"/>
    <mergeCell ref="M4:M5"/>
    <mergeCell ref="O4:O5"/>
    <mergeCell ref="B1:O1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53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opLeftCell="A4" workbookViewId="0">
      <selection activeCell="B27" sqref="B27:H30"/>
    </sheetView>
  </sheetViews>
  <sheetFormatPr defaultRowHeight="15" customHeight="1" x14ac:dyDescent="0.25"/>
  <cols>
    <col min="1" max="1" width="9.140625" style="76"/>
    <col min="2" max="15" width="9.140625" style="29" customWidth="1"/>
    <col min="16" max="16384" width="9.140625" style="29"/>
  </cols>
  <sheetData>
    <row r="1" spans="2:15" ht="59.25" customHeight="1" x14ac:dyDescent="0.25">
      <c r="B1" s="126" t="s">
        <v>56</v>
      </c>
      <c r="C1" s="126"/>
      <c r="D1" s="126"/>
      <c r="E1" s="126"/>
      <c r="F1" s="126"/>
      <c r="G1" s="126"/>
      <c r="H1" s="126"/>
      <c r="I1" s="126"/>
      <c r="J1" s="126"/>
      <c r="K1" s="126"/>
      <c r="L1" s="129"/>
      <c r="M1" s="129"/>
      <c r="N1" s="129"/>
      <c r="O1" s="129"/>
    </row>
    <row r="2" spans="2:15" ht="15" customHeight="1" x14ac:dyDescent="0.25">
      <c r="C2" s="36"/>
    </row>
    <row r="3" spans="2:15" ht="15" customHeight="1" x14ac:dyDescent="0.25">
      <c r="C3" s="36"/>
    </row>
    <row r="4" spans="2:15" ht="15" customHeight="1" x14ac:dyDescent="0.25">
      <c r="B4" s="120" t="s">
        <v>50</v>
      </c>
      <c r="C4" s="121"/>
      <c r="D4" s="28">
        <v>7</v>
      </c>
      <c r="E4" s="30"/>
    </row>
    <row r="5" spans="2:15" ht="15" customHeight="1" x14ac:dyDescent="0.25">
      <c r="C5" s="36"/>
      <c r="E5" s="31"/>
    </row>
    <row r="6" spans="2:15" ht="15" customHeight="1" x14ac:dyDescent="0.25">
      <c r="B6" s="35" t="s">
        <v>11</v>
      </c>
      <c r="C6" s="36">
        <v>4</v>
      </c>
      <c r="E6" s="32"/>
      <c r="F6" s="122" t="str">
        <f>IF(ISBLANK(D4),"",IF(D4&gt;D8,B4,B8))</f>
        <v>Маркина Елена</v>
      </c>
      <c r="G6" s="121"/>
      <c r="H6" s="28">
        <v>13</v>
      </c>
      <c r="I6" s="30"/>
    </row>
    <row r="7" spans="2:15" ht="15" customHeight="1" x14ac:dyDescent="0.25">
      <c r="C7" s="36"/>
      <c r="E7" s="32"/>
      <c r="I7" s="31"/>
    </row>
    <row r="8" spans="2:15" ht="15" customHeight="1" x14ac:dyDescent="0.25">
      <c r="B8" s="120" t="s">
        <v>44</v>
      </c>
      <c r="C8" s="121"/>
      <c r="D8" s="28">
        <v>11</v>
      </c>
      <c r="E8" s="33"/>
      <c r="I8" s="32"/>
    </row>
    <row r="9" spans="2:15" ht="15" customHeight="1" x14ac:dyDescent="0.25">
      <c r="C9" s="36"/>
      <c r="I9" s="32"/>
    </row>
    <row r="10" spans="2:15" ht="15" customHeight="1" x14ac:dyDescent="0.25">
      <c r="C10" s="36"/>
      <c r="G10" s="35" t="s">
        <v>11</v>
      </c>
      <c r="H10" s="36">
        <v>5</v>
      </c>
      <c r="I10" s="32"/>
      <c r="J10" s="122" t="str">
        <f>IF(ISBLANK(H6),"",IF(H6&gt;H14,F6,F14))</f>
        <v>Маркина Елена</v>
      </c>
      <c r="K10" s="120"/>
      <c r="L10" s="63"/>
      <c r="M10" s="34"/>
    </row>
    <row r="11" spans="2:15" ht="15" customHeight="1" x14ac:dyDescent="0.25">
      <c r="C11" s="36"/>
      <c r="I11" s="32"/>
      <c r="M11" s="34"/>
    </row>
    <row r="12" spans="2:15" ht="15" customHeight="1" x14ac:dyDescent="0.25">
      <c r="B12" s="120" t="s">
        <v>51</v>
      </c>
      <c r="C12" s="121"/>
      <c r="D12" s="28">
        <v>9</v>
      </c>
      <c r="E12" s="30"/>
      <c r="I12" s="32"/>
      <c r="M12" s="34"/>
    </row>
    <row r="13" spans="2:15" ht="15" customHeight="1" x14ac:dyDescent="0.25">
      <c r="C13" s="36"/>
      <c r="E13" s="31"/>
      <c r="I13" s="32"/>
      <c r="M13" s="34"/>
    </row>
    <row r="14" spans="2:15" ht="15" customHeight="1" x14ac:dyDescent="0.25">
      <c r="B14" s="35" t="s">
        <v>11</v>
      </c>
      <c r="C14" s="36">
        <v>5</v>
      </c>
      <c r="E14" s="32"/>
      <c r="F14" s="122" t="str">
        <f>IF(ISBLANK(D12),"",IF(D12&gt;D16,B12,B16))</f>
        <v>Дегтярёва Мила</v>
      </c>
      <c r="G14" s="121"/>
      <c r="H14" s="28">
        <v>5</v>
      </c>
      <c r="I14" s="33"/>
      <c r="M14" s="34"/>
    </row>
    <row r="15" spans="2:15" ht="15" customHeight="1" x14ac:dyDescent="0.25">
      <c r="E15" s="32"/>
      <c r="M15" s="34"/>
    </row>
    <row r="16" spans="2:15" ht="15" customHeight="1" x14ac:dyDescent="0.25">
      <c r="B16" s="120" t="s">
        <v>48</v>
      </c>
      <c r="C16" s="121"/>
      <c r="D16" s="28">
        <v>13</v>
      </c>
      <c r="E16" s="33"/>
      <c r="M16" s="34"/>
    </row>
    <row r="17" spans="1:13" ht="15" customHeight="1" x14ac:dyDescent="0.25">
      <c r="M17" s="34"/>
    </row>
    <row r="20" spans="1:13" ht="15" customHeight="1" x14ac:dyDescent="0.25">
      <c r="A20" s="131" t="s">
        <v>57</v>
      </c>
      <c r="B20" s="120" t="str">
        <f>IF(ISBLANK(D4),"",IF(D4&gt;D8,B8,B4))</f>
        <v>Симутина Юлия</v>
      </c>
      <c r="C20" s="121"/>
      <c r="D20" s="130">
        <v>11</v>
      </c>
      <c r="E20" s="30"/>
      <c r="F20" s="123"/>
      <c r="G20" s="123"/>
    </row>
    <row r="21" spans="1:13" ht="15" customHeight="1" x14ac:dyDescent="0.25">
      <c r="A21" s="131"/>
      <c r="E21" s="31"/>
    </row>
    <row r="22" spans="1:13" ht="15" customHeight="1" x14ac:dyDescent="0.25">
      <c r="A22" s="131"/>
      <c r="C22" s="35" t="s">
        <v>11</v>
      </c>
      <c r="D22" s="36">
        <v>7</v>
      </c>
      <c r="E22" s="32"/>
      <c r="F22" s="122" t="str">
        <f>IF(ISBLANK(D20),"",IF(D20&gt;D24,B20,B24))</f>
        <v>Симутина Юлия</v>
      </c>
      <c r="G22" s="120"/>
    </row>
    <row r="23" spans="1:13" ht="15" customHeight="1" x14ac:dyDescent="0.25">
      <c r="A23" s="131"/>
      <c r="E23" s="32"/>
    </row>
    <row r="24" spans="1:13" ht="15" customHeight="1" x14ac:dyDescent="0.25">
      <c r="A24" s="131"/>
      <c r="B24" s="120" t="str">
        <f>IF(ISBLANK(D12),"",IF(D12&gt;D16,B16,B12))</f>
        <v>Погорелова Александра</v>
      </c>
      <c r="C24" s="121"/>
      <c r="D24" s="130">
        <v>5</v>
      </c>
      <c r="E24" s="33"/>
    </row>
    <row r="27" spans="1:13" ht="15" customHeight="1" x14ac:dyDescent="0.35">
      <c r="B27" s="132" t="s">
        <v>58</v>
      </c>
      <c r="C27" s="132"/>
      <c r="D27" s="132"/>
      <c r="E27" s="132"/>
      <c r="F27" s="132"/>
      <c r="G27" s="132"/>
      <c r="H27" s="133"/>
    </row>
    <row r="28" spans="1:13" ht="15" customHeight="1" x14ac:dyDescent="0.35">
      <c r="B28" s="132"/>
      <c r="C28" s="132"/>
      <c r="D28" s="132"/>
      <c r="E28" s="132"/>
      <c r="F28" s="132"/>
      <c r="G28" s="132"/>
      <c r="H28" s="133"/>
    </row>
    <row r="29" spans="1:13" ht="15" customHeight="1" x14ac:dyDescent="0.35">
      <c r="B29" s="132"/>
      <c r="C29" s="132"/>
      <c r="D29" s="132"/>
      <c r="E29" s="132"/>
      <c r="F29" s="132"/>
      <c r="G29" s="132"/>
      <c r="H29" s="133"/>
    </row>
    <row r="30" spans="1:13" ht="15" customHeight="1" x14ac:dyDescent="0.35">
      <c r="B30" s="132" t="s">
        <v>59</v>
      </c>
      <c r="C30" s="132"/>
      <c r="D30" s="132"/>
      <c r="E30" s="132"/>
      <c r="F30" s="132"/>
      <c r="G30" s="132"/>
      <c r="H30" s="133"/>
    </row>
  </sheetData>
  <mergeCells count="13">
    <mergeCell ref="A20:A24"/>
    <mergeCell ref="F14:G14"/>
    <mergeCell ref="B16:C16"/>
    <mergeCell ref="B20:C20"/>
    <mergeCell ref="F20:G20"/>
    <mergeCell ref="F22:G22"/>
    <mergeCell ref="B24:C24"/>
    <mergeCell ref="B1:K1"/>
    <mergeCell ref="B4:C4"/>
    <mergeCell ref="F6:G6"/>
    <mergeCell ref="B8:C8"/>
    <mergeCell ref="J10:K10"/>
    <mergeCell ref="B12:C1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5"/>
  <sheetViews>
    <sheetView topLeftCell="A10" zoomScaleNormal="100" workbookViewId="0">
      <selection activeCell="E29" sqref="E29"/>
    </sheetView>
  </sheetViews>
  <sheetFormatPr defaultRowHeight="15" x14ac:dyDescent="0.25"/>
  <cols>
    <col min="2" max="2" width="23.42578125" customWidth="1"/>
    <col min="3" max="3" width="22.42578125" customWidth="1"/>
    <col min="4" max="4" width="36.7109375" customWidth="1"/>
    <col min="6" max="6" width="9.140625" customWidth="1"/>
  </cols>
  <sheetData>
    <row r="1" spans="1:11" ht="54" customHeight="1" x14ac:dyDescent="0.35">
      <c r="A1" s="134" t="s">
        <v>60</v>
      </c>
      <c r="B1" s="134"/>
      <c r="C1" s="134"/>
      <c r="D1" s="134"/>
      <c r="E1" s="135"/>
      <c r="F1" s="135"/>
      <c r="G1" s="135"/>
      <c r="H1" s="135"/>
      <c r="I1" s="135"/>
      <c r="J1" s="135"/>
      <c r="K1" s="135"/>
    </row>
    <row r="2" spans="1:11" ht="102.75" customHeight="1" x14ac:dyDescent="0.25">
      <c r="A2" s="136" t="s">
        <v>69</v>
      </c>
      <c r="B2" s="136"/>
      <c r="C2" s="136"/>
      <c r="D2" s="136"/>
      <c r="E2" s="137"/>
      <c r="F2" s="137"/>
      <c r="G2" s="138"/>
      <c r="H2" s="138"/>
      <c r="I2" s="138"/>
      <c r="J2" s="138"/>
    </row>
    <row r="3" spans="1:11" ht="15.75" thickBot="1" x14ac:dyDescent="0.3"/>
    <row r="4" spans="1:11" x14ac:dyDescent="0.25">
      <c r="A4" s="139" t="s">
        <v>61</v>
      </c>
      <c r="B4" s="140" t="s">
        <v>62</v>
      </c>
      <c r="C4" s="141" t="s">
        <v>63</v>
      </c>
      <c r="D4" s="142" t="s">
        <v>64</v>
      </c>
    </row>
    <row r="5" spans="1:11" x14ac:dyDescent="0.25">
      <c r="A5" s="143">
        <v>1</v>
      </c>
      <c r="B5" s="144" t="s">
        <v>46</v>
      </c>
      <c r="C5" s="145" t="s">
        <v>65</v>
      </c>
      <c r="D5" s="146">
        <v>15</v>
      </c>
      <c r="F5" s="153"/>
      <c r="G5" s="153"/>
      <c r="H5" s="153"/>
      <c r="I5" s="153"/>
      <c r="J5" s="153"/>
      <c r="K5" s="153"/>
    </row>
    <row r="6" spans="1:11" x14ac:dyDescent="0.25">
      <c r="A6" s="143">
        <v>2</v>
      </c>
      <c r="B6" s="152" t="s">
        <v>40</v>
      </c>
      <c r="C6" s="145" t="s">
        <v>65</v>
      </c>
      <c r="D6" s="146">
        <v>13</v>
      </c>
      <c r="F6" s="154"/>
      <c r="G6" s="153"/>
      <c r="H6" s="153"/>
      <c r="I6" s="153"/>
      <c r="J6" s="153"/>
      <c r="K6" s="153"/>
    </row>
    <row r="7" spans="1:11" x14ac:dyDescent="0.25">
      <c r="A7" s="143">
        <v>3</v>
      </c>
      <c r="B7" s="144" t="s">
        <v>43</v>
      </c>
      <c r="C7" s="145" t="s">
        <v>65</v>
      </c>
      <c r="D7" s="146">
        <v>11</v>
      </c>
      <c r="F7" s="153"/>
      <c r="G7" s="153"/>
      <c r="H7" s="153"/>
      <c r="I7" s="153"/>
      <c r="J7" s="153"/>
      <c r="K7" s="153"/>
    </row>
    <row r="8" spans="1:11" x14ac:dyDescent="0.25">
      <c r="A8" s="143">
        <v>4</v>
      </c>
      <c r="B8" s="144" t="s">
        <v>42</v>
      </c>
      <c r="C8" s="145" t="s">
        <v>65</v>
      </c>
      <c r="D8" s="146">
        <v>10</v>
      </c>
      <c r="F8" s="153"/>
      <c r="G8" s="153"/>
      <c r="H8" s="153"/>
      <c r="I8" s="153"/>
      <c r="J8" s="153"/>
      <c r="K8" s="153"/>
    </row>
    <row r="9" spans="1:11" x14ac:dyDescent="0.25">
      <c r="A9" s="143">
        <v>5</v>
      </c>
      <c r="B9" s="144" t="s">
        <v>44</v>
      </c>
      <c r="C9" s="145" t="s">
        <v>66</v>
      </c>
      <c r="D9" s="146">
        <v>9</v>
      </c>
      <c r="F9" s="153"/>
      <c r="G9" s="153"/>
      <c r="H9" s="153"/>
      <c r="I9" s="153"/>
      <c r="J9" s="153"/>
      <c r="K9" s="153"/>
    </row>
    <row r="10" spans="1:11" x14ac:dyDescent="0.25">
      <c r="A10" s="143">
        <v>6</v>
      </c>
      <c r="B10" s="144" t="s">
        <v>48</v>
      </c>
      <c r="C10" s="145" t="s">
        <v>65</v>
      </c>
      <c r="D10" s="146">
        <v>8</v>
      </c>
      <c r="F10" s="153"/>
      <c r="G10" s="153"/>
      <c r="H10" s="153"/>
      <c r="I10" s="153"/>
      <c r="J10" s="153"/>
      <c r="K10" s="153"/>
    </row>
    <row r="11" spans="1:11" x14ac:dyDescent="0.25">
      <c r="A11" s="157" t="s">
        <v>70</v>
      </c>
      <c r="B11" s="144" t="s">
        <v>50</v>
      </c>
      <c r="C11" s="145" t="s">
        <v>68</v>
      </c>
      <c r="D11" s="146">
        <v>6.5</v>
      </c>
      <c r="F11" s="153"/>
      <c r="G11" s="153"/>
      <c r="H11" s="153"/>
      <c r="I11" s="153"/>
      <c r="J11" s="153"/>
      <c r="K11" s="153"/>
    </row>
    <row r="12" spans="1:11" x14ac:dyDescent="0.25">
      <c r="A12" s="157" t="s">
        <v>70</v>
      </c>
      <c r="B12" s="144" t="s">
        <v>51</v>
      </c>
      <c r="C12" s="145" t="s">
        <v>65</v>
      </c>
      <c r="D12" s="146">
        <v>6.5</v>
      </c>
      <c r="F12" s="153"/>
      <c r="G12" s="153"/>
      <c r="H12" s="153"/>
      <c r="I12" s="153"/>
      <c r="J12" s="153"/>
      <c r="K12" s="153"/>
    </row>
    <row r="13" spans="1:11" x14ac:dyDescent="0.25">
      <c r="A13" s="143">
        <v>9</v>
      </c>
      <c r="B13" s="144" t="s">
        <v>39</v>
      </c>
      <c r="C13" s="145" t="s">
        <v>71</v>
      </c>
      <c r="D13" s="146">
        <v>5</v>
      </c>
      <c r="F13" s="153"/>
      <c r="G13" s="153"/>
      <c r="H13" s="153"/>
      <c r="I13" s="153"/>
      <c r="J13" s="153"/>
      <c r="K13" s="153"/>
    </row>
    <row r="14" spans="1:11" x14ac:dyDescent="0.25">
      <c r="A14" s="143">
        <v>10</v>
      </c>
      <c r="B14" s="144" t="s">
        <v>38</v>
      </c>
      <c r="C14" s="145" t="s">
        <v>65</v>
      </c>
      <c r="D14" s="146">
        <v>4</v>
      </c>
      <c r="F14" s="153"/>
      <c r="G14" s="153"/>
      <c r="H14" s="153"/>
      <c r="I14" s="153"/>
      <c r="J14" s="153"/>
      <c r="K14" s="153"/>
    </row>
    <row r="15" spans="1:11" x14ac:dyDescent="0.25">
      <c r="A15" s="143">
        <v>11</v>
      </c>
      <c r="B15" s="144" t="s">
        <v>45</v>
      </c>
      <c r="C15" s="145" t="s">
        <v>66</v>
      </c>
      <c r="D15" s="146">
        <v>3</v>
      </c>
      <c r="F15" s="153"/>
      <c r="G15" s="153"/>
      <c r="H15" s="153"/>
      <c r="I15" s="153"/>
      <c r="J15" s="153"/>
      <c r="K15" s="153"/>
    </row>
    <row r="16" spans="1:11" x14ac:dyDescent="0.25">
      <c r="A16" s="143">
        <v>12</v>
      </c>
      <c r="B16" s="144" t="s">
        <v>49</v>
      </c>
      <c r="C16" s="162" t="s">
        <v>66</v>
      </c>
      <c r="D16" s="160">
        <v>2</v>
      </c>
      <c r="F16" s="153"/>
      <c r="G16" s="153"/>
      <c r="H16" s="153"/>
      <c r="I16" s="153"/>
      <c r="J16" s="153"/>
      <c r="K16" s="153"/>
    </row>
    <row r="17" spans="1:11" x14ac:dyDescent="0.25">
      <c r="A17" s="143">
        <v>13</v>
      </c>
      <c r="B17" s="159" t="s">
        <v>52</v>
      </c>
      <c r="C17" s="163" t="s">
        <v>65</v>
      </c>
      <c r="D17" s="160">
        <v>1</v>
      </c>
      <c r="F17" s="153"/>
      <c r="G17" s="153"/>
      <c r="H17" s="153"/>
      <c r="I17" s="153"/>
      <c r="J17" s="153"/>
      <c r="K17" s="153"/>
    </row>
    <row r="18" spans="1:11" x14ac:dyDescent="0.25">
      <c r="A18" s="155">
        <v>14</v>
      </c>
      <c r="B18" s="144" t="s">
        <v>47</v>
      </c>
      <c r="C18" s="162" t="s">
        <v>66</v>
      </c>
      <c r="D18" s="160">
        <v>1</v>
      </c>
      <c r="F18" s="153"/>
      <c r="G18" s="153"/>
      <c r="H18" s="153"/>
      <c r="I18" s="153"/>
      <c r="J18" s="153"/>
      <c r="K18" s="153"/>
    </row>
    <row r="19" spans="1:11" ht="15.75" thickBot="1" x14ac:dyDescent="0.3">
      <c r="A19" s="148">
        <v>15</v>
      </c>
      <c r="B19" s="158" t="s">
        <v>41</v>
      </c>
      <c r="C19" s="164" t="s">
        <v>65</v>
      </c>
      <c r="D19" s="161">
        <v>1</v>
      </c>
      <c r="F19" s="153"/>
      <c r="G19" s="153"/>
      <c r="H19" s="153"/>
      <c r="I19" s="153"/>
    </row>
    <row r="21" spans="1:11" ht="21" x14ac:dyDescent="0.35">
      <c r="A21" s="132"/>
      <c r="B21" s="132"/>
      <c r="C21" s="132"/>
      <c r="D21" s="132"/>
      <c r="E21" s="132"/>
      <c r="F21" s="132"/>
      <c r="G21" s="133"/>
    </row>
    <row r="22" spans="1:11" ht="15" customHeight="1" x14ac:dyDescent="0.35">
      <c r="A22" s="132" t="s">
        <v>58</v>
      </c>
      <c r="B22" s="132"/>
      <c r="C22" s="132"/>
      <c r="D22" s="132"/>
      <c r="E22" s="132"/>
      <c r="F22" s="132"/>
      <c r="G22" s="133"/>
    </row>
    <row r="23" spans="1:11" ht="15" customHeight="1" x14ac:dyDescent="0.35">
      <c r="A23" s="132"/>
      <c r="B23" s="132"/>
      <c r="C23" s="132"/>
      <c r="D23" s="132"/>
      <c r="E23" s="132"/>
      <c r="F23" s="132"/>
      <c r="G23" s="133"/>
    </row>
    <row r="24" spans="1:11" ht="21" x14ac:dyDescent="0.35">
      <c r="A24" s="132"/>
      <c r="B24" s="132"/>
      <c r="C24" s="132"/>
      <c r="D24" s="132"/>
      <c r="E24" s="132"/>
      <c r="F24" s="132"/>
      <c r="G24" s="133"/>
    </row>
    <row r="25" spans="1:11" ht="21" x14ac:dyDescent="0.35">
      <c r="A25" s="132" t="s">
        <v>59</v>
      </c>
      <c r="B25" s="132"/>
      <c r="C25" s="132"/>
      <c r="D25" s="132"/>
      <c r="E25" s="132"/>
      <c r="F25" s="132"/>
      <c r="G25" s="133"/>
    </row>
  </sheetData>
  <mergeCells count="2">
    <mergeCell ref="A1:D1"/>
    <mergeCell ref="A2:D2"/>
  </mergeCells>
  <pageMargins left="0.75" right="0.49" top="0.7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A49" workbookViewId="0">
      <selection activeCell="B57" sqref="B57:E60"/>
    </sheetView>
  </sheetViews>
  <sheetFormatPr defaultRowHeight="15" x14ac:dyDescent="0.25"/>
  <cols>
    <col min="1" max="1" width="4" style="76" customWidth="1"/>
    <col min="2" max="12" width="10.28515625" customWidth="1"/>
    <col min="13" max="13" width="10.28515625" style="37" customWidth="1"/>
    <col min="14" max="15" width="10.28515625" customWidth="1"/>
  </cols>
  <sheetData>
    <row r="1" spans="2:15" ht="59.25" customHeight="1" x14ac:dyDescent="0.25">
      <c r="B1" s="124" t="s">
        <v>72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15" ht="15.75" thickBot="1" x14ac:dyDescent="0.3">
      <c r="M2"/>
    </row>
    <row r="3" spans="2:15" ht="30" customHeight="1" thickBot="1" x14ac:dyDescent="0.3">
      <c r="B3" s="75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2">
        <v>7</v>
      </c>
      <c r="M3" s="3" t="s">
        <v>1</v>
      </c>
      <c r="N3" s="1" t="s">
        <v>3</v>
      </c>
      <c r="O3" s="4" t="s">
        <v>2</v>
      </c>
    </row>
    <row r="4" spans="2:15" ht="24" customHeight="1" x14ac:dyDescent="0.25">
      <c r="B4" s="80">
        <v>1</v>
      </c>
      <c r="C4" s="82" t="s">
        <v>73</v>
      </c>
      <c r="D4" s="83"/>
      <c r="E4" s="84"/>
      <c r="F4" s="10"/>
      <c r="G4" s="6" t="str">
        <f ca="1">INDIRECT(ADDRESS(29,6))&amp;":"&amp;INDIRECT(ADDRESS(29,7))</f>
        <v>12:6</v>
      </c>
      <c r="H4" s="6" t="str">
        <f ca="1">INDIRECT(ADDRESS(32,7))&amp;":"&amp;INDIRECT(ADDRESS(32,6))</f>
        <v>9:13</v>
      </c>
      <c r="I4" s="6" t="str">
        <f ca="1">INDIRECT(ADDRESS(38,6))&amp;":"&amp;INDIRECT(ADDRESS(38,7))</f>
        <v>13:4</v>
      </c>
      <c r="J4" s="6" t="str">
        <f ca="1">INDIRECT(ADDRESS(43,7))&amp;":"&amp;INDIRECT(ADDRESS(43,6))</f>
        <v>9:7</v>
      </c>
      <c r="K4" s="45" t="str">
        <f ca="1">INDIRECT(ADDRESS(47,6))&amp;":"&amp;INDIRECT(ADDRESS(47,7))</f>
        <v>10:11</v>
      </c>
      <c r="L4" s="21" t="str">
        <f ca="1">INDIRECT(ADDRESS(54,7))&amp;":"&amp;INDIRECT(ADDRESS(54,6))</f>
        <v>12:4</v>
      </c>
      <c r="M4" s="115">
        <f ca="1">IF(COUNT(F5:L5)=0,"",COUNTIF(F5:L5,"&gt;0")+0.5*COUNTIF(F5:L5,0))</f>
        <v>4</v>
      </c>
      <c r="N4" s="24"/>
      <c r="O4" s="108">
        <v>2</v>
      </c>
    </row>
    <row r="5" spans="2:15" ht="24" customHeight="1" x14ac:dyDescent="0.25">
      <c r="B5" s="81"/>
      <c r="C5" s="85"/>
      <c r="D5" s="86"/>
      <c r="E5" s="87"/>
      <c r="F5" s="14"/>
      <c r="G5" s="17">
        <f ca="1">IF(LEN(INDIRECT(ADDRESS(ROW()-1, COLUMN())))=1,"",INDIRECT(ADDRESS(29,6))-INDIRECT(ADDRESS(29,7)))</f>
        <v>6</v>
      </c>
      <c r="H5" s="17">
        <f ca="1">IF(LEN(INDIRECT(ADDRESS(ROW()-1, COLUMN())))=1,"",INDIRECT(ADDRESS(32,7))-INDIRECT(ADDRESS(32,6)))</f>
        <v>-4</v>
      </c>
      <c r="I5" s="17">
        <f ca="1">IF(LEN(INDIRECT(ADDRESS(ROW()-1, COLUMN())))=1,"",INDIRECT(ADDRESS(38,6))-INDIRECT(ADDRESS(38,7)))</f>
        <v>9</v>
      </c>
      <c r="J5" s="17">
        <f ca="1">IF(LEN(INDIRECT(ADDRESS(ROW()-1, COLUMN())))=1,"",INDIRECT(ADDRESS(43,7))-INDIRECT(ADDRESS(43,6)))</f>
        <v>2</v>
      </c>
      <c r="K5" s="46">
        <f ca="1">IF(LEN(INDIRECT(ADDRESS(ROW()-1, COLUMN())))=1,"",INDIRECT(ADDRESS(47,6))-INDIRECT(ADDRESS(47,7)))</f>
        <v>-1</v>
      </c>
      <c r="L5" s="18">
        <f ca="1">IF(LEN(INDIRECT(ADDRESS(ROW()-1, COLUMN())))=1,"",INDIRECT(ADDRESS(54,7))-INDIRECT(ADDRESS(54,6)))</f>
        <v>8</v>
      </c>
      <c r="M5" s="89"/>
      <c r="N5" s="17"/>
      <c r="O5" s="107"/>
    </row>
    <row r="6" spans="2:15" ht="24" customHeight="1" x14ac:dyDescent="0.25">
      <c r="B6" s="92">
        <v>2</v>
      </c>
      <c r="C6" s="85" t="s">
        <v>74</v>
      </c>
      <c r="D6" s="86"/>
      <c r="E6" s="87"/>
      <c r="F6" s="12" t="str">
        <f ca="1">INDIRECT(ADDRESS(29,7))&amp;":"&amp;INDIRECT(ADDRESS(29,6))</f>
        <v>6:12</v>
      </c>
      <c r="G6" s="8"/>
      <c r="H6" s="7" t="str">
        <f ca="1">INDIRECT(ADDRESS(39,6))&amp;":"&amp;INDIRECT(ADDRESS(39,7))</f>
        <v>6:8</v>
      </c>
      <c r="I6" s="7" t="str">
        <f ca="1">INDIRECT(ADDRESS(42,7))&amp;":"&amp;INDIRECT(ADDRESS(42,6))</f>
        <v>11:6</v>
      </c>
      <c r="J6" s="7" t="str">
        <f ca="1">INDIRECT(ADDRESS(48,6))&amp;":"&amp;INDIRECT(ADDRESS(48,7))</f>
        <v>13:0</v>
      </c>
      <c r="K6" s="47" t="str">
        <f ca="1">INDIRECT(ADDRESS(53,7))&amp;":"&amp;INDIRECT(ADDRESS(53,6))</f>
        <v>3:7</v>
      </c>
      <c r="L6" s="11" t="str">
        <f ca="1">INDIRECT(ADDRESS(22,6))&amp;":"&amp;INDIRECT(ADDRESS(22,7))</f>
        <v>13:2</v>
      </c>
      <c r="M6" s="89">
        <f ca="1">IF(COUNT(F7:L7)=0,"",COUNTIF(F7:L7,"&gt;0")+0.5*COUNTIF(F7:L7,0))</f>
        <v>3</v>
      </c>
      <c r="N6" s="127" t="s">
        <v>30</v>
      </c>
      <c r="O6" s="106">
        <v>3</v>
      </c>
    </row>
    <row r="7" spans="2:15" ht="24" customHeight="1" x14ac:dyDescent="0.25">
      <c r="B7" s="81"/>
      <c r="C7" s="85"/>
      <c r="D7" s="86"/>
      <c r="E7" s="87"/>
      <c r="F7" s="23">
        <f ca="1">IF(LEN(INDIRECT(ADDRESS(ROW()-1, COLUMN())))=1,"",INDIRECT(ADDRESS(29,7))-INDIRECT(ADDRESS(29,6)))</f>
        <v>-6</v>
      </c>
      <c r="G7" s="15"/>
      <c r="H7" s="17">
        <f ca="1">IF(LEN(INDIRECT(ADDRESS(ROW()-1, COLUMN())))=1,"",INDIRECT(ADDRESS(39,6))-INDIRECT(ADDRESS(39,7)))</f>
        <v>-2</v>
      </c>
      <c r="I7" s="17">
        <f ca="1">IF(LEN(INDIRECT(ADDRESS(ROW()-1, COLUMN())))=1,"",INDIRECT(ADDRESS(42,7))-INDIRECT(ADDRESS(42,6)))</f>
        <v>5</v>
      </c>
      <c r="J7" s="17">
        <f ca="1">IF(LEN(INDIRECT(ADDRESS(ROW()-1, COLUMN())))=1,"",INDIRECT(ADDRESS(48,6))-INDIRECT(ADDRESS(48,7)))</f>
        <v>13</v>
      </c>
      <c r="K7" s="46">
        <f ca="1">IF(LEN(INDIRECT(ADDRESS(ROW()-1, COLUMN())))=1,"",INDIRECT(ADDRESS(53,7))-INDIRECT(ADDRESS(53,6)))</f>
        <v>-4</v>
      </c>
      <c r="L7" s="18">
        <f ca="1">IF(LEN(INDIRECT(ADDRESS(ROW()-1, COLUMN())))=1,"",INDIRECT(ADDRESS(22,6))-INDIRECT(ADDRESS(22,7)))</f>
        <v>11</v>
      </c>
      <c r="M7" s="89"/>
      <c r="N7" s="17">
        <v>3</v>
      </c>
      <c r="O7" s="107"/>
    </row>
    <row r="8" spans="2:15" ht="24" customHeight="1" x14ac:dyDescent="0.25">
      <c r="B8" s="92">
        <v>3</v>
      </c>
      <c r="C8" s="85" t="s">
        <v>75</v>
      </c>
      <c r="D8" s="86"/>
      <c r="E8" s="87"/>
      <c r="F8" s="12" t="str">
        <f ca="1">INDIRECT(ADDRESS(32,6))&amp;":"&amp;INDIRECT(ADDRESS(32,7))</f>
        <v>13:9</v>
      </c>
      <c r="G8" s="7" t="str">
        <f ca="1">INDIRECT(ADDRESS(39,7))&amp;":"&amp;INDIRECT(ADDRESS(39,6))</f>
        <v>8:6</v>
      </c>
      <c r="H8" s="8"/>
      <c r="I8" s="7" t="str">
        <f ca="1">INDIRECT(ADDRESS(49,6))&amp;":"&amp;INDIRECT(ADDRESS(49,7))</f>
        <v>7:10</v>
      </c>
      <c r="J8" s="7" t="str">
        <f ca="1">INDIRECT(ADDRESS(52,7))&amp;":"&amp;INDIRECT(ADDRESS(52,6))</f>
        <v>6:9</v>
      </c>
      <c r="K8" s="47" t="str">
        <f ca="1">INDIRECT(ADDRESS(23,6))&amp;":"&amp;INDIRECT(ADDRESS(23,7))</f>
        <v>0:13</v>
      </c>
      <c r="L8" s="11" t="str">
        <f ca="1">INDIRECT(ADDRESS(28,7))&amp;":"&amp;INDIRECT(ADDRESS(28,6))</f>
        <v>8:4</v>
      </c>
      <c r="M8" s="89">
        <f ca="1">IF(COUNT(F9:L9)=0,"",COUNTIF(F9:L9,"&gt;0")+0.5*COUNTIF(F9:L9,0))</f>
        <v>3</v>
      </c>
      <c r="N8" s="127" t="s">
        <v>30</v>
      </c>
      <c r="O8" s="106">
        <v>4</v>
      </c>
    </row>
    <row r="9" spans="2:15" ht="24" customHeight="1" x14ac:dyDescent="0.25">
      <c r="B9" s="81"/>
      <c r="C9" s="85"/>
      <c r="D9" s="86"/>
      <c r="E9" s="87"/>
      <c r="F9" s="23">
        <f ca="1">IF(LEN(INDIRECT(ADDRESS(ROW()-1, COLUMN())))=1,"",INDIRECT(ADDRESS(32,6))-INDIRECT(ADDRESS(32,7)))</f>
        <v>4</v>
      </c>
      <c r="G9" s="17">
        <f ca="1">IF(LEN(INDIRECT(ADDRESS(ROW()-1, COLUMN())))=1,"",INDIRECT(ADDRESS(39,7))-INDIRECT(ADDRESS(39,6)))</f>
        <v>2</v>
      </c>
      <c r="H9" s="15"/>
      <c r="I9" s="17">
        <f ca="1">IF(LEN(INDIRECT(ADDRESS(ROW()-1, COLUMN())))=1,"",INDIRECT(ADDRESS(49,6))-INDIRECT(ADDRESS(49,7)))</f>
        <v>-3</v>
      </c>
      <c r="J9" s="17">
        <f ca="1">IF(LEN(INDIRECT(ADDRESS(ROW()-1, COLUMN())))=1,"",INDIRECT(ADDRESS(52,7))-INDIRECT(ADDRESS(52,6)))</f>
        <v>-3</v>
      </c>
      <c r="K9" s="46">
        <f ca="1">IF(LEN(INDIRECT(ADDRESS(ROW()-1, COLUMN())))=1,"",INDIRECT(ADDRESS(23,6))-INDIRECT(ADDRESS(23,7)))</f>
        <v>-13</v>
      </c>
      <c r="L9" s="18">
        <f ca="1">IF(LEN(INDIRECT(ADDRESS(ROW()-1, COLUMN())))=1,"",INDIRECT(ADDRESS(28,7))-INDIRECT(ADDRESS(28,6)))</f>
        <v>4</v>
      </c>
      <c r="M9" s="89"/>
      <c r="N9" s="17">
        <v>-1</v>
      </c>
      <c r="O9" s="107"/>
    </row>
    <row r="10" spans="2:15" ht="24" customHeight="1" x14ac:dyDescent="0.25">
      <c r="B10" s="92">
        <v>4</v>
      </c>
      <c r="C10" s="85" t="s">
        <v>76</v>
      </c>
      <c r="D10" s="86"/>
      <c r="E10" s="87"/>
      <c r="F10" s="12" t="str">
        <f ca="1">INDIRECT(ADDRESS(38,7))&amp;":"&amp;INDIRECT(ADDRESS(38,6))</f>
        <v>4:13</v>
      </c>
      <c r="G10" s="7" t="str">
        <f ca="1">INDIRECT(ADDRESS(42,6))&amp;":"&amp;INDIRECT(ADDRESS(42,7))</f>
        <v>6:11</v>
      </c>
      <c r="H10" s="7" t="str">
        <f ca="1">INDIRECT(ADDRESS(49,7))&amp;":"&amp;INDIRECT(ADDRESS(49,6))</f>
        <v>10:7</v>
      </c>
      <c r="I10" s="8"/>
      <c r="J10" s="7" t="str">
        <f ca="1">INDIRECT(ADDRESS(24,6))&amp;":"&amp;INDIRECT(ADDRESS(24,7))</f>
        <v>6:4</v>
      </c>
      <c r="K10" s="47" t="str">
        <f ca="1">INDIRECT(ADDRESS(27,7))&amp;":"&amp;INDIRECT(ADDRESS(27,6))</f>
        <v>4:9</v>
      </c>
      <c r="L10" s="11" t="str">
        <f ca="1">INDIRECT(ADDRESS(33,6))&amp;":"&amp;INDIRECT(ADDRESS(33,7))</f>
        <v>13:4</v>
      </c>
      <c r="M10" s="89">
        <f ca="1">IF(COUNT(F11:L11)=0,"",COUNTIF(F11:L11,"&gt;0")+0.5*COUNTIF(F11:L11,0))</f>
        <v>3</v>
      </c>
      <c r="N10" s="127" t="s">
        <v>30</v>
      </c>
      <c r="O10" s="106">
        <v>5</v>
      </c>
    </row>
    <row r="11" spans="2:15" ht="24" customHeight="1" x14ac:dyDescent="0.25">
      <c r="B11" s="81"/>
      <c r="C11" s="85"/>
      <c r="D11" s="86"/>
      <c r="E11" s="87"/>
      <c r="F11" s="23">
        <f ca="1">IF(LEN(INDIRECT(ADDRESS(ROW()-1, COLUMN())))=1,"",INDIRECT(ADDRESS(38,7))-INDIRECT(ADDRESS(38,6)))</f>
        <v>-9</v>
      </c>
      <c r="G11" s="17">
        <f ca="1">IF(LEN(INDIRECT(ADDRESS(ROW()-1, COLUMN())))=1,"",INDIRECT(ADDRESS(42,6))-INDIRECT(ADDRESS(42,7)))</f>
        <v>-5</v>
      </c>
      <c r="H11" s="17">
        <f ca="1">IF(LEN(INDIRECT(ADDRESS(ROW()-1, COLUMN())))=1,"",INDIRECT(ADDRESS(49,7))-INDIRECT(ADDRESS(49,6)))</f>
        <v>3</v>
      </c>
      <c r="I11" s="15"/>
      <c r="J11" s="17">
        <f ca="1">IF(LEN(INDIRECT(ADDRESS(ROW()-1, COLUMN())))=1,"",INDIRECT(ADDRESS(24,6))-INDIRECT(ADDRESS(24,7)))</f>
        <v>2</v>
      </c>
      <c r="K11" s="46">
        <f ca="1">IF(LEN(INDIRECT(ADDRESS(ROW()-1, COLUMN())))=1,"",INDIRECT(ADDRESS(27,7))-INDIRECT(ADDRESS(27,6)))</f>
        <v>-5</v>
      </c>
      <c r="L11" s="18">
        <f ca="1">IF(LEN(INDIRECT(ADDRESS(ROW()-1, COLUMN())))=1,"",INDIRECT(ADDRESS(33,6))-INDIRECT(ADDRESS(33,7)))</f>
        <v>9</v>
      </c>
      <c r="M11" s="89"/>
      <c r="N11" s="17">
        <v>-2</v>
      </c>
      <c r="O11" s="107"/>
    </row>
    <row r="12" spans="2:15" ht="24" customHeight="1" x14ac:dyDescent="0.25">
      <c r="B12" s="92">
        <v>5</v>
      </c>
      <c r="C12" s="85" t="s">
        <v>77</v>
      </c>
      <c r="D12" s="86"/>
      <c r="E12" s="87"/>
      <c r="F12" s="12" t="str">
        <f ca="1">INDIRECT(ADDRESS(43,6))&amp;":"&amp;INDIRECT(ADDRESS(43,7))</f>
        <v>7:9</v>
      </c>
      <c r="G12" s="7" t="str">
        <f ca="1">INDIRECT(ADDRESS(48,7))&amp;":"&amp;INDIRECT(ADDRESS(48,6))</f>
        <v>0:13</v>
      </c>
      <c r="H12" s="7" t="str">
        <f ca="1">INDIRECT(ADDRESS(52,6))&amp;":"&amp;INDIRECT(ADDRESS(52,7))</f>
        <v>9:6</v>
      </c>
      <c r="I12" s="7" t="str">
        <f ca="1">INDIRECT(ADDRESS(24,7))&amp;":"&amp;INDIRECT(ADDRESS(24,6))</f>
        <v>4:6</v>
      </c>
      <c r="J12" s="8"/>
      <c r="K12" s="47" t="str">
        <f ca="1">INDIRECT(ADDRESS(34,6))&amp;":"&amp;INDIRECT(ADDRESS(34,7))</f>
        <v>6:8</v>
      </c>
      <c r="L12" s="11" t="str">
        <f ca="1">INDIRECT(ADDRESS(37,7))&amp;":"&amp;INDIRECT(ADDRESS(37,6))</f>
        <v>13:0</v>
      </c>
      <c r="M12" s="89">
        <f ca="1">IF(COUNT(F13:L13)=0,"",COUNTIF(F13:L13,"&gt;0")+0.5*COUNTIF(F13:L13,0))</f>
        <v>2</v>
      </c>
      <c r="N12" s="17"/>
      <c r="O12" s="106">
        <v>6</v>
      </c>
    </row>
    <row r="13" spans="2:15" ht="24" customHeight="1" x14ac:dyDescent="0.25">
      <c r="B13" s="81"/>
      <c r="C13" s="85"/>
      <c r="D13" s="86"/>
      <c r="E13" s="87"/>
      <c r="F13" s="23">
        <f ca="1">IF(LEN(INDIRECT(ADDRESS(ROW()-1, COLUMN())))=1,"",INDIRECT(ADDRESS(43,6))-INDIRECT(ADDRESS(43,7)))</f>
        <v>-2</v>
      </c>
      <c r="G13" s="17">
        <f ca="1">IF(LEN(INDIRECT(ADDRESS(ROW()-1, COLUMN())))=1,"",INDIRECT(ADDRESS(48,7))-INDIRECT(ADDRESS(48,6)))</f>
        <v>-13</v>
      </c>
      <c r="H13" s="17">
        <f ca="1">IF(LEN(INDIRECT(ADDRESS(ROW()-1, COLUMN())))=1,"",INDIRECT(ADDRESS(52,6))-INDIRECT(ADDRESS(52,7)))</f>
        <v>3</v>
      </c>
      <c r="I13" s="17">
        <f ca="1">IF(LEN(INDIRECT(ADDRESS(ROW()-1, COLUMN())))=1,"",INDIRECT(ADDRESS(24,7))-INDIRECT(ADDRESS(24,6)))</f>
        <v>-2</v>
      </c>
      <c r="J13" s="15"/>
      <c r="K13" s="46">
        <f ca="1">IF(LEN(INDIRECT(ADDRESS(ROW()-1, COLUMN())))=1,"",INDIRECT(ADDRESS(34,6))-INDIRECT(ADDRESS(34,7)))</f>
        <v>-2</v>
      </c>
      <c r="L13" s="18">
        <f ca="1">IF(LEN(INDIRECT(ADDRESS(ROW()-1, COLUMN())))=1,"",INDIRECT(ADDRESS(37,7))-INDIRECT(ADDRESS(37,6)))</f>
        <v>13</v>
      </c>
      <c r="M13" s="89"/>
      <c r="N13" s="17"/>
      <c r="O13" s="107"/>
    </row>
    <row r="14" spans="2:15" ht="24" customHeight="1" x14ac:dyDescent="0.25">
      <c r="B14" s="92">
        <v>6</v>
      </c>
      <c r="C14" s="85" t="s">
        <v>78</v>
      </c>
      <c r="D14" s="86"/>
      <c r="E14" s="87"/>
      <c r="F14" s="12" t="str">
        <f ca="1">INDIRECT(ADDRESS(47,7))&amp;":"&amp;INDIRECT(ADDRESS(47,6))</f>
        <v>11:10</v>
      </c>
      <c r="G14" s="7" t="str">
        <f ca="1">INDIRECT(ADDRESS(53,6))&amp;":"&amp;INDIRECT(ADDRESS(53,7))</f>
        <v>7:3</v>
      </c>
      <c r="H14" s="7" t="str">
        <f ca="1">INDIRECT(ADDRESS(23,7))&amp;":"&amp;INDIRECT(ADDRESS(23,6))</f>
        <v>13:0</v>
      </c>
      <c r="I14" s="7" t="str">
        <f ca="1">INDIRECT(ADDRESS(27,6))&amp;":"&amp;INDIRECT(ADDRESS(27,7))</f>
        <v>9:4</v>
      </c>
      <c r="J14" s="7" t="str">
        <f ca="1">INDIRECT(ADDRESS(34,7))&amp;":"&amp;INDIRECT(ADDRESS(34,6))</f>
        <v>8:6</v>
      </c>
      <c r="K14" s="48"/>
      <c r="L14" s="52" t="str">
        <f ca="1">INDIRECT(ADDRESS(44,6))&amp;":"&amp;INDIRECT(ADDRESS(44,7))</f>
        <v>9:8</v>
      </c>
      <c r="M14" s="89">
        <f ca="1">IF(COUNT(F15:L15)=0,"",COUNTIF(F15:L15,"&gt;0")+0.5*COUNTIF(F15:L15,0))</f>
        <v>6</v>
      </c>
      <c r="N14" s="17"/>
      <c r="O14" s="106">
        <v>1</v>
      </c>
    </row>
    <row r="15" spans="2:15" ht="24" customHeight="1" x14ac:dyDescent="0.25">
      <c r="B15" s="81"/>
      <c r="C15" s="85"/>
      <c r="D15" s="86"/>
      <c r="E15" s="87"/>
      <c r="F15" s="23">
        <f ca="1">IF(LEN(INDIRECT(ADDRESS(ROW()-1, COLUMN())))=1,"",INDIRECT(ADDRESS(47,7))-INDIRECT(ADDRESS(47,6)))</f>
        <v>1</v>
      </c>
      <c r="G15" s="17">
        <f ca="1">IF(LEN(INDIRECT(ADDRESS(ROW()-1, COLUMN())))=1,"",INDIRECT(ADDRESS(53,6))-INDIRECT(ADDRESS(53,7)))</f>
        <v>4</v>
      </c>
      <c r="H15" s="17">
        <f ca="1">IF(LEN(INDIRECT(ADDRESS(ROW()-1, COLUMN())))=1,"",INDIRECT(ADDRESS(23,7))-INDIRECT(ADDRESS(23,6)))</f>
        <v>13</v>
      </c>
      <c r="I15" s="17">
        <f ca="1">IF(LEN(INDIRECT(ADDRESS(ROW()-1, COLUMN())))=1,"",INDIRECT(ADDRESS(27,6))-INDIRECT(ADDRESS(27,7)))</f>
        <v>5</v>
      </c>
      <c r="J15" s="17">
        <f ca="1">IF(LEN(INDIRECT(ADDRESS(ROW()-1, COLUMN())))=1,"",INDIRECT(ADDRESS(34,7))-INDIRECT(ADDRESS(34,6)))</f>
        <v>2</v>
      </c>
      <c r="K15" s="49"/>
      <c r="L15" s="53">
        <f ca="1">IF(LEN(INDIRECT(ADDRESS(ROW()-1, COLUMN())))=1,"",INDIRECT(ADDRESS(44,6))-INDIRECT(ADDRESS(44,7)))</f>
        <v>1</v>
      </c>
      <c r="M15" s="89"/>
      <c r="N15" s="17"/>
      <c r="O15" s="107"/>
    </row>
    <row r="16" spans="2:15" ht="24" customHeight="1" x14ac:dyDescent="0.25">
      <c r="B16" s="110">
        <v>7</v>
      </c>
      <c r="C16" s="111" t="s">
        <v>79</v>
      </c>
      <c r="D16" s="112"/>
      <c r="E16" s="113"/>
      <c r="F16" s="40" t="str">
        <f ca="1">INDIRECT(ADDRESS(54,6))&amp;":"&amp;INDIRECT(ADDRESS(54,7))</f>
        <v>4:12</v>
      </c>
      <c r="G16" s="41" t="str">
        <f ca="1">INDIRECT(ADDRESS(22,7))&amp;":"&amp;INDIRECT(ADDRESS(22,6))</f>
        <v>2:13</v>
      </c>
      <c r="H16" s="41" t="str">
        <f ca="1">INDIRECT(ADDRESS(28,6))&amp;":"&amp;INDIRECT(ADDRESS(28,7))</f>
        <v>4:8</v>
      </c>
      <c r="I16" s="41" t="str">
        <f ca="1">INDIRECT(ADDRESS(33,7))&amp;":"&amp;INDIRECT(ADDRESS(33,6))</f>
        <v>4:13</v>
      </c>
      <c r="J16" s="41" t="str">
        <f ca="1">INDIRECT(ADDRESS(37,6))&amp;":"&amp;INDIRECT(ADDRESS(37,7))</f>
        <v>0:13</v>
      </c>
      <c r="K16" s="50" t="str">
        <f ca="1">INDIRECT(ADDRESS(44,7))&amp;":"&amp;INDIRECT(ADDRESS(44,6))</f>
        <v>8:9</v>
      </c>
      <c r="L16" s="42"/>
      <c r="M16" s="89">
        <f ca="1">IF(COUNT(F17:L17)=0,"",COUNTIF(F17:L17,"&gt;0")+0.5*COUNTIF(F17:L17,0))</f>
        <v>0</v>
      </c>
      <c r="N16" s="43"/>
      <c r="O16" s="114">
        <v>7</v>
      </c>
    </row>
    <row r="17" spans="2:15" ht="24" customHeight="1" thickBot="1" x14ac:dyDescent="0.3">
      <c r="B17" s="93"/>
      <c r="C17" s="94"/>
      <c r="D17" s="95"/>
      <c r="E17" s="96"/>
      <c r="F17" s="20">
        <f ca="1">IF(LEN(INDIRECT(ADDRESS(ROW()-1, COLUMN())))=1,"",INDIRECT(ADDRESS(54,6))-INDIRECT(ADDRESS(54,7)))</f>
        <v>-8</v>
      </c>
      <c r="G17" s="19">
        <f ca="1">IF(LEN(INDIRECT(ADDRESS(ROW()-1, COLUMN())))=1,"",INDIRECT(ADDRESS(22,7))-INDIRECT(ADDRESS(22,6)))</f>
        <v>-11</v>
      </c>
      <c r="H17" s="19">
        <f ca="1">IF(LEN(INDIRECT(ADDRESS(ROW()-1, COLUMN())))=1,"",INDIRECT(ADDRESS(28,6))-INDIRECT(ADDRESS(28,7)))</f>
        <v>-4</v>
      </c>
      <c r="I17" s="19">
        <f ca="1">IF(LEN(INDIRECT(ADDRESS(ROW()-1, COLUMN())))=1,"",INDIRECT(ADDRESS(33,7))-INDIRECT(ADDRESS(33,6)))</f>
        <v>-9</v>
      </c>
      <c r="J17" s="19">
        <f ca="1">IF(LEN(INDIRECT(ADDRESS(ROW()-1, COLUMN())))=1,"",INDIRECT(ADDRESS(37,6))-INDIRECT(ADDRESS(37,7)))</f>
        <v>-13</v>
      </c>
      <c r="K17" s="51">
        <f ca="1">IF(LEN(INDIRECT(ADDRESS(ROW()-1, COLUMN())))=1,"",INDIRECT(ADDRESS(44,7))-INDIRECT(ADDRESS(44,6)))</f>
        <v>-1</v>
      </c>
      <c r="L17" s="16"/>
      <c r="M17" s="97"/>
      <c r="N17" s="19"/>
      <c r="O17" s="109"/>
    </row>
    <row r="18" spans="2:15" x14ac:dyDescent="0.25">
      <c r="M18"/>
    </row>
    <row r="19" spans="2:15" x14ac:dyDescent="0.25">
      <c r="M19"/>
    </row>
    <row r="20" spans="2:15" x14ac:dyDescent="0.25">
      <c r="M20"/>
    </row>
    <row r="21" spans="2:15" ht="30" customHeight="1" thickBot="1" x14ac:dyDescent="0.3">
      <c r="B21" s="99" t="s">
        <v>4</v>
      </c>
      <c r="C21" s="99"/>
      <c r="D21" s="99"/>
      <c r="E21" s="99"/>
      <c r="F21" s="99"/>
      <c r="G21" s="99"/>
      <c r="H21" s="99"/>
      <c r="I21" s="99"/>
      <c r="J21" s="99"/>
      <c r="K21" s="99"/>
      <c r="M21"/>
    </row>
    <row r="22" spans="2:15" ht="30" customHeight="1" thickBot="1" x14ac:dyDescent="0.3">
      <c r="B22" s="5">
        <v>2</v>
      </c>
      <c r="C22" s="100" t="str">
        <f ca="1">IF(ISBLANK(INDIRECT(ADDRESS(B22*2+2,3))),"",INDIRECT(ADDRESS(B22*2+2,3)))</f>
        <v>Нечаев, Борисенко</v>
      </c>
      <c r="D22" s="100"/>
      <c r="E22" s="101"/>
      <c r="F22" s="26">
        <v>13</v>
      </c>
      <c r="G22" s="27">
        <v>2</v>
      </c>
      <c r="H22" s="102" t="str">
        <f ca="1">IF(ISBLANK(INDIRECT(ADDRESS(K22*2+2,3))),"",INDIRECT(ADDRESS(K22*2+2,3)))</f>
        <v>Попов, Дуплякин</v>
      </c>
      <c r="I22" s="100"/>
      <c r="J22" s="100"/>
      <c r="K22" s="5">
        <v>7</v>
      </c>
      <c r="L22" s="35" t="s">
        <v>11</v>
      </c>
      <c r="M22" s="29">
        <v>7</v>
      </c>
    </row>
    <row r="23" spans="2:15" ht="30" customHeight="1" thickBot="1" x14ac:dyDescent="0.3">
      <c r="B23" s="5">
        <v>3</v>
      </c>
      <c r="C23" s="100" t="str">
        <f ca="1">IF(ISBLANK(INDIRECT(ADDRESS(B23*2+2,3))),"",INDIRECT(ADDRESS(B23*2+2,3)))</f>
        <v>Капран-Индаяти, Шубин</v>
      </c>
      <c r="D23" s="100"/>
      <c r="E23" s="101"/>
      <c r="F23" s="26">
        <v>0</v>
      </c>
      <c r="G23" s="27">
        <v>13</v>
      </c>
      <c r="H23" s="102" t="str">
        <f ca="1">IF(ISBLANK(INDIRECT(ADDRESS(K23*2+2,3))),"",INDIRECT(ADDRESS(K23*2+2,3)))</f>
        <v>Татьянц, Пищанский</v>
      </c>
      <c r="I23" s="100"/>
      <c r="J23" s="100"/>
      <c r="K23" s="5">
        <v>6</v>
      </c>
      <c r="L23" s="35" t="s">
        <v>11</v>
      </c>
      <c r="M23" s="29">
        <v>8</v>
      </c>
    </row>
    <row r="24" spans="2:15" ht="30" customHeight="1" thickBot="1" x14ac:dyDescent="0.3">
      <c r="B24" s="5">
        <v>4</v>
      </c>
      <c r="C24" s="100" t="str">
        <f ca="1">IF(ISBLANK(INDIRECT(ADDRESS(B24*2+2,3))),"",INDIRECT(ADDRESS(B24*2+2,3)))</f>
        <v>Помазан, Шустваль</v>
      </c>
      <c r="D24" s="100"/>
      <c r="E24" s="101"/>
      <c r="F24" s="26">
        <v>6</v>
      </c>
      <c r="G24" s="27">
        <v>4</v>
      </c>
      <c r="H24" s="102" t="str">
        <f ca="1">IF(ISBLANK(INDIRECT(ADDRESS(K24*2+2,3))),"",INDIRECT(ADDRESS(K24*2+2,3)))</f>
        <v>Коржов, Соколовский</v>
      </c>
      <c r="I24" s="100"/>
      <c r="J24" s="100"/>
      <c r="K24" s="5">
        <v>5</v>
      </c>
      <c r="L24" s="35" t="s">
        <v>11</v>
      </c>
      <c r="M24" s="29">
        <v>9</v>
      </c>
    </row>
    <row r="25" spans="2:15" ht="30" customHeight="1" x14ac:dyDescent="0.25"/>
    <row r="26" spans="2:15" ht="30" customHeight="1" thickBot="1" x14ac:dyDescent="0.3">
      <c r="B26" s="99" t="s">
        <v>5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2:15" ht="30" customHeight="1" thickBot="1" x14ac:dyDescent="0.3">
      <c r="B27" s="5">
        <v>6</v>
      </c>
      <c r="C27" s="100" t="str">
        <f ca="1">IF(ISBLANK(INDIRECT(ADDRESS(B27*2+2,3))),"",INDIRECT(ADDRESS(B27*2+2,3)))</f>
        <v>Татьянц, Пищанский</v>
      </c>
      <c r="D27" s="100"/>
      <c r="E27" s="101"/>
      <c r="F27" s="26">
        <v>9</v>
      </c>
      <c r="G27" s="27">
        <v>4</v>
      </c>
      <c r="H27" s="102" t="str">
        <f ca="1">IF(ISBLANK(INDIRECT(ADDRESS(K27*2+2,3))),"",INDIRECT(ADDRESS(K27*2+2,3)))</f>
        <v>Помазан, Шустваль</v>
      </c>
      <c r="I27" s="100"/>
      <c r="J27" s="100"/>
      <c r="K27" s="5">
        <v>4</v>
      </c>
      <c r="L27" s="35" t="s">
        <v>11</v>
      </c>
      <c r="M27" s="29">
        <v>7</v>
      </c>
    </row>
    <row r="28" spans="2:15" ht="30" customHeight="1" thickBot="1" x14ac:dyDescent="0.3">
      <c r="B28" s="5">
        <v>7</v>
      </c>
      <c r="C28" s="100" t="str">
        <f ca="1">IF(ISBLANK(INDIRECT(ADDRESS(B28*2+2,3))),"",INDIRECT(ADDRESS(B28*2+2,3)))</f>
        <v>Попов, Дуплякин</v>
      </c>
      <c r="D28" s="100"/>
      <c r="E28" s="101"/>
      <c r="F28" s="26">
        <v>4</v>
      </c>
      <c r="G28" s="27">
        <v>8</v>
      </c>
      <c r="H28" s="102" t="str">
        <f ca="1">IF(ISBLANK(INDIRECT(ADDRESS(K28*2+2,3))),"",INDIRECT(ADDRESS(K28*2+2,3)))</f>
        <v>Капран-Индаяти, Шубин</v>
      </c>
      <c r="I28" s="100"/>
      <c r="J28" s="100"/>
      <c r="K28" s="5">
        <v>3</v>
      </c>
      <c r="L28" s="35" t="s">
        <v>11</v>
      </c>
      <c r="M28" s="29">
        <v>8</v>
      </c>
    </row>
    <row r="29" spans="2:15" ht="30" customHeight="1" thickBot="1" x14ac:dyDescent="0.3">
      <c r="B29" s="5">
        <v>1</v>
      </c>
      <c r="C29" s="100" t="str">
        <f ca="1">IF(ISBLANK(INDIRECT(ADDRESS(B29*2+2,3))),"",INDIRECT(ADDRESS(B29*2+2,3)))</f>
        <v>Ерёмин, Субанов</v>
      </c>
      <c r="D29" s="100"/>
      <c r="E29" s="101"/>
      <c r="F29" s="26">
        <v>12</v>
      </c>
      <c r="G29" s="27">
        <v>6</v>
      </c>
      <c r="H29" s="102" t="str">
        <f ca="1">IF(ISBLANK(INDIRECT(ADDRESS(K29*2+2,3))),"",INDIRECT(ADDRESS(K29*2+2,3)))</f>
        <v>Нечаев, Борисенко</v>
      </c>
      <c r="I29" s="100"/>
      <c r="J29" s="100"/>
      <c r="K29" s="5">
        <v>2</v>
      </c>
      <c r="L29" s="35" t="s">
        <v>11</v>
      </c>
      <c r="M29" s="29">
        <v>9</v>
      </c>
    </row>
    <row r="30" spans="2:15" ht="30" customHeight="1" x14ac:dyDescent="0.25"/>
    <row r="31" spans="2:15" ht="30" customHeight="1" thickBot="1" x14ac:dyDescent="0.3">
      <c r="B31" s="99" t="s">
        <v>6</v>
      </c>
      <c r="C31" s="99"/>
      <c r="D31" s="99"/>
      <c r="E31" s="99"/>
      <c r="F31" s="99"/>
      <c r="G31" s="99"/>
      <c r="H31" s="99"/>
      <c r="I31" s="99"/>
      <c r="J31" s="99"/>
      <c r="K31" s="99"/>
    </row>
    <row r="32" spans="2:15" ht="30" customHeight="1" thickBot="1" x14ac:dyDescent="0.3">
      <c r="B32" s="5">
        <v>3</v>
      </c>
      <c r="C32" s="100" t="str">
        <f ca="1">IF(ISBLANK(INDIRECT(ADDRESS(B32*2+2,3))),"",INDIRECT(ADDRESS(B32*2+2,3)))</f>
        <v>Капран-Индаяти, Шубин</v>
      </c>
      <c r="D32" s="100"/>
      <c r="E32" s="101"/>
      <c r="F32" s="26">
        <v>13</v>
      </c>
      <c r="G32" s="27">
        <v>9</v>
      </c>
      <c r="H32" s="102" t="str">
        <f ca="1">IF(ISBLANK(INDIRECT(ADDRESS(K32*2+2,3))),"",INDIRECT(ADDRESS(K32*2+2,3)))</f>
        <v>Ерёмин, Субанов</v>
      </c>
      <c r="I32" s="100"/>
      <c r="J32" s="100"/>
      <c r="K32" s="5">
        <v>1</v>
      </c>
      <c r="L32" s="35" t="s">
        <v>11</v>
      </c>
      <c r="M32" s="29">
        <v>8</v>
      </c>
    </row>
    <row r="33" spans="2:13" ht="30" customHeight="1" thickBot="1" x14ac:dyDescent="0.3">
      <c r="B33" s="5">
        <v>4</v>
      </c>
      <c r="C33" s="100" t="str">
        <f ca="1">IF(ISBLANK(INDIRECT(ADDRESS(B33*2+2,3))),"",INDIRECT(ADDRESS(B33*2+2,3)))</f>
        <v>Помазан, Шустваль</v>
      </c>
      <c r="D33" s="100"/>
      <c r="E33" s="101"/>
      <c r="F33" s="26">
        <v>13</v>
      </c>
      <c r="G33" s="27">
        <v>4</v>
      </c>
      <c r="H33" s="102" t="str">
        <f ca="1">IF(ISBLANK(INDIRECT(ADDRESS(K33*2+2,3))),"",INDIRECT(ADDRESS(K33*2+2,3)))</f>
        <v>Попов, Дуплякин</v>
      </c>
      <c r="I33" s="100"/>
      <c r="J33" s="100"/>
      <c r="K33" s="5">
        <v>7</v>
      </c>
      <c r="L33" s="35" t="s">
        <v>11</v>
      </c>
      <c r="M33" s="29">
        <v>9</v>
      </c>
    </row>
    <row r="34" spans="2:13" ht="30" customHeight="1" thickBot="1" x14ac:dyDescent="0.3">
      <c r="B34" s="5">
        <v>5</v>
      </c>
      <c r="C34" s="100" t="str">
        <f ca="1">IF(ISBLANK(INDIRECT(ADDRESS(B34*2+2,3))),"",INDIRECT(ADDRESS(B34*2+2,3)))</f>
        <v>Коржов, Соколовский</v>
      </c>
      <c r="D34" s="100"/>
      <c r="E34" s="101"/>
      <c r="F34" s="26">
        <v>6</v>
      </c>
      <c r="G34" s="27">
        <v>8</v>
      </c>
      <c r="H34" s="102" t="str">
        <f ca="1">IF(ISBLANK(INDIRECT(ADDRESS(K34*2+2,3))),"",INDIRECT(ADDRESS(K34*2+2,3)))</f>
        <v>Татьянц, Пищанский</v>
      </c>
      <c r="I34" s="100"/>
      <c r="J34" s="100"/>
      <c r="K34" s="5">
        <v>6</v>
      </c>
      <c r="L34" s="35" t="s">
        <v>11</v>
      </c>
      <c r="M34" s="29">
        <v>7</v>
      </c>
    </row>
    <row r="35" spans="2:13" ht="30" customHeight="1" x14ac:dyDescent="0.25"/>
    <row r="36" spans="2:13" ht="30" customHeight="1" thickBot="1" x14ac:dyDescent="0.3">
      <c r="B36" s="99" t="s">
        <v>8</v>
      </c>
      <c r="C36" s="99"/>
      <c r="D36" s="99"/>
      <c r="E36" s="99"/>
      <c r="F36" s="99"/>
      <c r="G36" s="99"/>
      <c r="H36" s="99"/>
      <c r="I36" s="99"/>
      <c r="J36" s="99"/>
      <c r="K36" s="99"/>
    </row>
    <row r="37" spans="2:13" ht="30" customHeight="1" thickBot="1" x14ac:dyDescent="0.3">
      <c r="B37" s="5">
        <v>7</v>
      </c>
      <c r="C37" s="100" t="str">
        <f ca="1">IF(ISBLANK(INDIRECT(ADDRESS(B37*2+2,3))),"",INDIRECT(ADDRESS(B37*2+2,3)))</f>
        <v>Попов, Дуплякин</v>
      </c>
      <c r="D37" s="100"/>
      <c r="E37" s="101"/>
      <c r="F37" s="26">
        <v>0</v>
      </c>
      <c r="G37" s="27">
        <v>13</v>
      </c>
      <c r="H37" s="102" t="str">
        <f ca="1">IF(ISBLANK(INDIRECT(ADDRESS(K37*2+2,3))),"",INDIRECT(ADDRESS(K37*2+2,3)))</f>
        <v>Коржов, Соколовский</v>
      </c>
      <c r="I37" s="100"/>
      <c r="J37" s="100"/>
      <c r="K37" s="5">
        <v>5</v>
      </c>
      <c r="L37" s="35" t="s">
        <v>11</v>
      </c>
      <c r="M37" s="29">
        <v>8</v>
      </c>
    </row>
    <row r="38" spans="2:13" ht="30" customHeight="1" thickBot="1" x14ac:dyDescent="0.3">
      <c r="B38" s="5">
        <v>1</v>
      </c>
      <c r="C38" s="100" t="str">
        <f ca="1">IF(ISBLANK(INDIRECT(ADDRESS(B38*2+2,3))),"",INDIRECT(ADDRESS(B38*2+2,3)))</f>
        <v>Ерёмин, Субанов</v>
      </c>
      <c r="D38" s="100"/>
      <c r="E38" s="101"/>
      <c r="F38" s="26">
        <v>13</v>
      </c>
      <c r="G38" s="27">
        <v>4</v>
      </c>
      <c r="H38" s="102" t="str">
        <f ca="1">IF(ISBLANK(INDIRECT(ADDRESS(K38*2+2,3))),"",INDIRECT(ADDRESS(K38*2+2,3)))</f>
        <v>Помазан, Шустваль</v>
      </c>
      <c r="I38" s="100"/>
      <c r="J38" s="100"/>
      <c r="K38" s="5">
        <v>4</v>
      </c>
      <c r="L38" s="35" t="s">
        <v>11</v>
      </c>
      <c r="M38" s="29">
        <v>9</v>
      </c>
    </row>
    <row r="39" spans="2:13" ht="30" customHeight="1" thickBot="1" x14ac:dyDescent="0.3">
      <c r="B39" s="5">
        <v>2</v>
      </c>
      <c r="C39" s="100" t="str">
        <f ca="1">IF(ISBLANK(INDIRECT(ADDRESS(B39*2+2,3))),"",INDIRECT(ADDRESS(B39*2+2,3)))</f>
        <v>Нечаев, Борисенко</v>
      </c>
      <c r="D39" s="100"/>
      <c r="E39" s="101"/>
      <c r="F39" s="26">
        <v>6</v>
      </c>
      <c r="G39" s="27">
        <v>8</v>
      </c>
      <c r="H39" s="102" t="str">
        <f ca="1">IF(ISBLANK(INDIRECT(ADDRESS(K39*2+2,3))),"",INDIRECT(ADDRESS(K39*2+2,3)))</f>
        <v>Капран-Индаяти, Шубин</v>
      </c>
      <c r="I39" s="100"/>
      <c r="J39" s="100"/>
      <c r="K39" s="5">
        <v>3</v>
      </c>
      <c r="L39" s="35" t="s">
        <v>11</v>
      </c>
      <c r="M39" s="29">
        <v>7</v>
      </c>
    </row>
    <row r="40" spans="2:13" ht="30" customHeight="1" x14ac:dyDescent="0.25"/>
    <row r="41" spans="2:13" ht="30" customHeight="1" thickBot="1" x14ac:dyDescent="0.3">
      <c r="B41" s="99" t="s">
        <v>9</v>
      </c>
      <c r="C41" s="99"/>
      <c r="D41" s="99"/>
      <c r="E41" s="99"/>
      <c r="F41" s="99"/>
      <c r="G41" s="99"/>
      <c r="H41" s="99"/>
      <c r="I41" s="99"/>
      <c r="J41" s="99"/>
      <c r="K41" s="99"/>
    </row>
    <row r="42" spans="2:13" ht="30" customHeight="1" thickBot="1" x14ac:dyDescent="0.3">
      <c r="B42" s="5">
        <v>4</v>
      </c>
      <c r="C42" s="100" t="str">
        <f ca="1">IF(ISBLANK(INDIRECT(ADDRESS(B42*2+2,3))),"",INDIRECT(ADDRESS(B42*2+2,3)))</f>
        <v>Помазан, Шустваль</v>
      </c>
      <c r="D42" s="100"/>
      <c r="E42" s="101"/>
      <c r="F42" s="26">
        <v>6</v>
      </c>
      <c r="G42" s="27">
        <v>11</v>
      </c>
      <c r="H42" s="102" t="str">
        <f ca="1">IF(ISBLANK(INDIRECT(ADDRESS(K42*2+2,3))),"",INDIRECT(ADDRESS(K42*2+2,3)))</f>
        <v>Нечаев, Борисенко</v>
      </c>
      <c r="I42" s="100"/>
      <c r="J42" s="100"/>
      <c r="K42" s="5">
        <v>2</v>
      </c>
      <c r="L42" s="35" t="s">
        <v>11</v>
      </c>
      <c r="M42" s="29">
        <v>9</v>
      </c>
    </row>
    <row r="43" spans="2:13" ht="30" customHeight="1" thickBot="1" x14ac:dyDescent="0.3">
      <c r="B43" s="5">
        <v>5</v>
      </c>
      <c r="C43" s="100" t="str">
        <f ca="1">IF(ISBLANK(INDIRECT(ADDRESS(B43*2+2,3))),"",INDIRECT(ADDRESS(B43*2+2,3)))</f>
        <v>Коржов, Соколовский</v>
      </c>
      <c r="D43" s="100"/>
      <c r="E43" s="101"/>
      <c r="F43" s="26">
        <v>7</v>
      </c>
      <c r="G43" s="27">
        <v>9</v>
      </c>
      <c r="H43" s="102" t="str">
        <f ca="1">IF(ISBLANK(INDIRECT(ADDRESS(K43*2+2,3))),"",INDIRECT(ADDRESS(K43*2+2,3)))</f>
        <v>Ерёмин, Субанов</v>
      </c>
      <c r="I43" s="100"/>
      <c r="J43" s="100"/>
      <c r="K43" s="5">
        <v>1</v>
      </c>
      <c r="L43" s="35" t="s">
        <v>11</v>
      </c>
      <c r="M43" s="29">
        <v>7</v>
      </c>
    </row>
    <row r="44" spans="2:13" ht="30" customHeight="1" thickBot="1" x14ac:dyDescent="0.3">
      <c r="B44" s="5">
        <v>6</v>
      </c>
      <c r="C44" s="100" t="str">
        <f ca="1">IF(ISBLANK(INDIRECT(ADDRESS(B44*2+2,3))),"",INDIRECT(ADDRESS(B44*2+2,3)))</f>
        <v>Татьянц, Пищанский</v>
      </c>
      <c r="D44" s="100"/>
      <c r="E44" s="101"/>
      <c r="F44" s="26">
        <v>9</v>
      </c>
      <c r="G44" s="27">
        <v>8</v>
      </c>
      <c r="H44" s="102" t="str">
        <f ca="1">IF(ISBLANK(INDIRECT(ADDRESS(K44*2+2,3))),"",INDIRECT(ADDRESS(K44*2+2,3)))</f>
        <v>Попов, Дуплякин</v>
      </c>
      <c r="I44" s="100"/>
      <c r="J44" s="100"/>
      <c r="K44" s="5">
        <v>7</v>
      </c>
      <c r="L44" s="35" t="s">
        <v>11</v>
      </c>
      <c r="M44" s="29">
        <v>8</v>
      </c>
    </row>
    <row r="45" spans="2:13" ht="30" customHeight="1" x14ac:dyDescent="0.25"/>
    <row r="46" spans="2:13" ht="30" customHeight="1" thickBot="1" x14ac:dyDescent="0.3">
      <c r="B46" s="99" t="s">
        <v>12</v>
      </c>
      <c r="C46" s="99"/>
      <c r="D46" s="99"/>
      <c r="E46" s="99"/>
      <c r="F46" s="99"/>
      <c r="G46" s="99"/>
      <c r="H46" s="99"/>
      <c r="I46" s="99"/>
      <c r="J46" s="99"/>
      <c r="K46" s="99"/>
    </row>
    <row r="47" spans="2:13" ht="30" customHeight="1" thickBot="1" x14ac:dyDescent="0.3">
      <c r="B47" s="5">
        <v>1</v>
      </c>
      <c r="C47" s="100" t="str">
        <f ca="1">IF(ISBLANK(INDIRECT(ADDRESS(B47*2+2,3))),"",INDIRECT(ADDRESS(B47*2+2,3)))</f>
        <v>Ерёмин, Субанов</v>
      </c>
      <c r="D47" s="100"/>
      <c r="E47" s="101"/>
      <c r="F47" s="26">
        <v>10</v>
      </c>
      <c r="G47" s="27">
        <v>11</v>
      </c>
      <c r="H47" s="102" t="str">
        <f ca="1">IF(ISBLANK(INDIRECT(ADDRESS(K47*2+2,3))),"",INDIRECT(ADDRESS(K47*2+2,3)))</f>
        <v>Татьянц, Пищанский</v>
      </c>
      <c r="I47" s="100"/>
      <c r="J47" s="100"/>
      <c r="K47" s="5">
        <v>6</v>
      </c>
      <c r="L47" s="35" t="s">
        <v>11</v>
      </c>
      <c r="M47" s="29">
        <v>9</v>
      </c>
    </row>
    <row r="48" spans="2:13" ht="30" customHeight="1" thickBot="1" x14ac:dyDescent="0.3">
      <c r="B48" s="5">
        <v>2</v>
      </c>
      <c r="C48" s="100" t="str">
        <f ca="1">IF(ISBLANK(INDIRECT(ADDRESS(B48*2+2,3))),"",INDIRECT(ADDRESS(B48*2+2,3)))</f>
        <v>Нечаев, Борисенко</v>
      </c>
      <c r="D48" s="100"/>
      <c r="E48" s="101"/>
      <c r="F48" s="26">
        <v>13</v>
      </c>
      <c r="G48" s="27">
        <v>0</v>
      </c>
      <c r="H48" s="102" t="str">
        <f ca="1">IF(ISBLANK(INDIRECT(ADDRESS(K48*2+2,3))),"",INDIRECT(ADDRESS(K48*2+2,3)))</f>
        <v>Коржов, Соколовский</v>
      </c>
      <c r="I48" s="100"/>
      <c r="J48" s="100"/>
      <c r="K48" s="5">
        <v>5</v>
      </c>
      <c r="L48" s="35" t="s">
        <v>11</v>
      </c>
      <c r="M48" s="29">
        <v>7</v>
      </c>
    </row>
    <row r="49" spans="2:13" ht="30" customHeight="1" thickBot="1" x14ac:dyDescent="0.3">
      <c r="B49" s="5">
        <v>3</v>
      </c>
      <c r="C49" s="100" t="str">
        <f ca="1">IF(ISBLANK(INDIRECT(ADDRESS(B49*2+2,3))),"",INDIRECT(ADDRESS(B49*2+2,3)))</f>
        <v>Капран-Индаяти, Шубин</v>
      </c>
      <c r="D49" s="100"/>
      <c r="E49" s="101"/>
      <c r="F49" s="26">
        <v>7</v>
      </c>
      <c r="G49" s="27">
        <v>10</v>
      </c>
      <c r="H49" s="102" t="str">
        <f ca="1">IF(ISBLANK(INDIRECT(ADDRESS(K49*2+2,3))),"",INDIRECT(ADDRESS(K49*2+2,3)))</f>
        <v>Помазан, Шустваль</v>
      </c>
      <c r="I49" s="100"/>
      <c r="J49" s="100"/>
      <c r="K49" s="5">
        <v>4</v>
      </c>
      <c r="L49" s="35" t="s">
        <v>11</v>
      </c>
      <c r="M49" s="29">
        <v>8</v>
      </c>
    </row>
    <row r="50" spans="2:13" ht="30" customHeight="1" x14ac:dyDescent="0.25"/>
    <row r="51" spans="2:13" ht="30" customHeight="1" thickBot="1" x14ac:dyDescent="0.3">
      <c r="B51" s="99" t="s">
        <v>13</v>
      </c>
      <c r="C51" s="99"/>
      <c r="D51" s="99"/>
      <c r="E51" s="99"/>
      <c r="F51" s="99"/>
      <c r="G51" s="99"/>
      <c r="H51" s="99"/>
      <c r="I51" s="99"/>
      <c r="J51" s="99"/>
      <c r="K51" s="99"/>
    </row>
    <row r="52" spans="2:13" ht="30" customHeight="1" thickBot="1" x14ac:dyDescent="0.3">
      <c r="B52" s="5">
        <v>5</v>
      </c>
      <c r="C52" s="100" t="str">
        <f ca="1">IF(ISBLANK(INDIRECT(ADDRESS(B52*2+2,3))),"",INDIRECT(ADDRESS(B52*2+2,3)))</f>
        <v>Коржов, Соколовский</v>
      </c>
      <c r="D52" s="100"/>
      <c r="E52" s="101"/>
      <c r="F52" s="26">
        <v>9</v>
      </c>
      <c r="G52" s="27">
        <v>6</v>
      </c>
      <c r="H52" s="102" t="str">
        <f ca="1">IF(ISBLANK(INDIRECT(ADDRESS(K52*2+2,3))),"",INDIRECT(ADDRESS(K52*2+2,3)))</f>
        <v>Капран-Индаяти, Шубин</v>
      </c>
      <c r="I52" s="100"/>
      <c r="J52" s="100"/>
      <c r="K52" s="5">
        <v>3</v>
      </c>
      <c r="L52" s="35" t="s">
        <v>11</v>
      </c>
      <c r="M52" s="29">
        <v>7</v>
      </c>
    </row>
    <row r="53" spans="2:13" ht="30" customHeight="1" thickBot="1" x14ac:dyDescent="0.3">
      <c r="B53" s="5">
        <v>6</v>
      </c>
      <c r="C53" s="100" t="str">
        <f ca="1">IF(ISBLANK(INDIRECT(ADDRESS(B53*2+2,3))),"",INDIRECT(ADDRESS(B53*2+2,3)))</f>
        <v>Татьянц, Пищанский</v>
      </c>
      <c r="D53" s="100"/>
      <c r="E53" s="101"/>
      <c r="F53" s="26">
        <v>7</v>
      </c>
      <c r="G53" s="27">
        <v>3</v>
      </c>
      <c r="H53" s="102" t="str">
        <f ca="1">IF(ISBLANK(INDIRECT(ADDRESS(K53*2+2,3))),"",INDIRECT(ADDRESS(K53*2+2,3)))</f>
        <v>Нечаев, Борисенко</v>
      </c>
      <c r="I53" s="100"/>
      <c r="J53" s="100"/>
      <c r="K53" s="5">
        <v>2</v>
      </c>
      <c r="L53" s="35" t="s">
        <v>11</v>
      </c>
      <c r="M53" s="29">
        <v>8</v>
      </c>
    </row>
    <row r="54" spans="2:13" ht="30" customHeight="1" thickBot="1" x14ac:dyDescent="0.3">
      <c r="B54" s="5">
        <v>7</v>
      </c>
      <c r="C54" s="100" t="str">
        <f ca="1">IF(ISBLANK(INDIRECT(ADDRESS(B54*2+2,3))),"",INDIRECT(ADDRESS(B54*2+2,3)))</f>
        <v>Попов, Дуплякин</v>
      </c>
      <c r="D54" s="100"/>
      <c r="E54" s="101"/>
      <c r="F54" s="26">
        <v>4</v>
      </c>
      <c r="G54" s="27">
        <v>12</v>
      </c>
      <c r="H54" s="102" t="str">
        <f ca="1">IF(ISBLANK(INDIRECT(ADDRESS(K54*2+2,3))),"",INDIRECT(ADDRESS(K54*2+2,3)))</f>
        <v>Ерёмин, Субанов</v>
      </c>
      <c r="I54" s="100"/>
      <c r="J54" s="100"/>
      <c r="K54" s="5">
        <v>1</v>
      </c>
      <c r="L54" s="35" t="s">
        <v>11</v>
      </c>
      <c r="M54" s="29">
        <v>9</v>
      </c>
    </row>
    <row r="57" spans="2:13" ht="21" x14ac:dyDescent="0.35">
      <c r="B57" s="132" t="s">
        <v>58</v>
      </c>
      <c r="C57" s="132"/>
      <c r="D57" s="132"/>
      <c r="E57" s="132"/>
    </row>
    <row r="58" spans="2:13" ht="21" x14ac:dyDescent="0.35">
      <c r="B58" s="132"/>
      <c r="C58" s="132"/>
      <c r="D58" s="132"/>
      <c r="E58" s="132"/>
    </row>
    <row r="59" spans="2:13" ht="21" x14ac:dyDescent="0.35">
      <c r="B59" s="132"/>
      <c r="C59" s="132"/>
      <c r="D59" s="132"/>
      <c r="E59" s="132"/>
    </row>
    <row r="60" spans="2:13" ht="21" x14ac:dyDescent="0.35">
      <c r="B60" s="132" t="s">
        <v>59</v>
      </c>
      <c r="C60" s="132"/>
      <c r="D60" s="132"/>
      <c r="E60" s="132"/>
    </row>
  </sheetData>
  <mergeCells count="79">
    <mergeCell ref="B51:K51"/>
    <mergeCell ref="C52:E52"/>
    <mergeCell ref="H52:J52"/>
    <mergeCell ref="C53:E53"/>
    <mergeCell ref="H53:J53"/>
    <mergeCell ref="C54:E54"/>
    <mergeCell ref="H54:J54"/>
    <mergeCell ref="B46:K46"/>
    <mergeCell ref="C47:E47"/>
    <mergeCell ref="H47:J47"/>
    <mergeCell ref="C48:E48"/>
    <mergeCell ref="H48:J48"/>
    <mergeCell ref="C49:E49"/>
    <mergeCell ref="H49:J49"/>
    <mergeCell ref="B41:K41"/>
    <mergeCell ref="C42:E42"/>
    <mergeCell ref="H42:J42"/>
    <mergeCell ref="C43:E43"/>
    <mergeCell ref="H43:J43"/>
    <mergeCell ref="C44:E44"/>
    <mergeCell ref="H44:J44"/>
    <mergeCell ref="B36:K36"/>
    <mergeCell ref="C37:E37"/>
    <mergeCell ref="H37:J37"/>
    <mergeCell ref="C38:E38"/>
    <mergeCell ref="H38:J38"/>
    <mergeCell ref="C39:E39"/>
    <mergeCell ref="H39:J39"/>
    <mergeCell ref="B31:K31"/>
    <mergeCell ref="C32:E32"/>
    <mergeCell ref="H32:J32"/>
    <mergeCell ref="C33:E33"/>
    <mergeCell ref="H33:J33"/>
    <mergeCell ref="C34:E34"/>
    <mergeCell ref="H34:J34"/>
    <mergeCell ref="B26:K26"/>
    <mergeCell ref="C27:E27"/>
    <mergeCell ref="H27:J27"/>
    <mergeCell ref="C28:E28"/>
    <mergeCell ref="H28:J28"/>
    <mergeCell ref="C29:E29"/>
    <mergeCell ref="H29:J29"/>
    <mergeCell ref="B21:K21"/>
    <mergeCell ref="C22:E22"/>
    <mergeCell ref="H22:J22"/>
    <mergeCell ref="C23:E23"/>
    <mergeCell ref="H23:J23"/>
    <mergeCell ref="C24:E24"/>
    <mergeCell ref="H24:J24"/>
    <mergeCell ref="B14:B15"/>
    <mergeCell ref="C14:E15"/>
    <mergeCell ref="M14:M15"/>
    <mergeCell ref="O14:O15"/>
    <mergeCell ref="B16:B17"/>
    <mergeCell ref="C16:E17"/>
    <mergeCell ref="M16:M17"/>
    <mergeCell ref="O16:O17"/>
    <mergeCell ref="B10:B11"/>
    <mergeCell ref="C10:E11"/>
    <mergeCell ref="M10:M11"/>
    <mergeCell ref="O10:O11"/>
    <mergeCell ref="B12:B13"/>
    <mergeCell ref="C12:E13"/>
    <mergeCell ref="M12:M13"/>
    <mergeCell ref="O12:O13"/>
    <mergeCell ref="B6:B7"/>
    <mergeCell ref="C6:E7"/>
    <mergeCell ref="M6:M7"/>
    <mergeCell ref="O6:O7"/>
    <mergeCell ref="B8:B9"/>
    <mergeCell ref="C8:E9"/>
    <mergeCell ref="M8:M9"/>
    <mergeCell ref="O8:O9"/>
    <mergeCell ref="C3:E3"/>
    <mergeCell ref="B4:B5"/>
    <mergeCell ref="C4:E5"/>
    <mergeCell ref="M4:M5"/>
    <mergeCell ref="O4:O5"/>
    <mergeCell ref="B1:O1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53" orientation="portrait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4"/>
  <sheetViews>
    <sheetView topLeftCell="A13" zoomScaleNormal="100" workbookViewId="0">
      <selection activeCell="G8" sqref="G8"/>
    </sheetView>
  </sheetViews>
  <sheetFormatPr defaultRowHeight="15" x14ac:dyDescent="0.25"/>
  <cols>
    <col min="2" max="2" width="21.140625" customWidth="1"/>
    <col min="3" max="3" width="22.42578125" customWidth="1"/>
    <col min="4" max="4" width="36.7109375" customWidth="1"/>
  </cols>
  <sheetData>
    <row r="1" spans="1:11" ht="54" customHeight="1" x14ac:dyDescent="0.35">
      <c r="A1" s="134" t="s">
        <v>60</v>
      </c>
      <c r="B1" s="134"/>
      <c r="C1" s="134"/>
      <c r="D1" s="134"/>
      <c r="E1" s="135"/>
      <c r="F1" s="135"/>
      <c r="G1" s="135"/>
      <c r="H1" s="135"/>
      <c r="I1" s="135"/>
      <c r="J1" s="135"/>
      <c r="K1" s="135"/>
    </row>
    <row r="2" spans="1:11" ht="88.5" customHeight="1" x14ac:dyDescent="0.25">
      <c r="A2" s="136" t="s">
        <v>82</v>
      </c>
      <c r="B2" s="136"/>
      <c r="C2" s="136"/>
      <c r="D2" s="136"/>
      <c r="E2" s="137"/>
      <c r="F2" s="137"/>
      <c r="G2" s="138"/>
      <c r="H2" s="138"/>
      <c r="I2" s="138"/>
      <c r="J2" s="138"/>
    </row>
    <row r="3" spans="1:11" ht="15.75" thickBot="1" x14ac:dyDescent="0.3"/>
    <row r="4" spans="1:11" x14ac:dyDescent="0.25">
      <c r="A4" s="139" t="s">
        <v>61</v>
      </c>
      <c r="B4" s="140" t="s">
        <v>62</v>
      </c>
      <c r="C4" s="141" t="s">
        <v>63</v>
      </c>
      <c r="D4" s="142" t="s">
        <v>64</v>
      </c>
    </row>
    <row r="5" spans="1:11" x14ac:dyDescent="0.25">
      <c r="A5" s="143">
        <v>1</v>
      </c>
      <c r="B5" s="144" t="s">
        <v>23</v>
      </c>
      <c r="C5" s="145" t="s">
        <v>65</v>
      </c>
      <c r="D5" s="146">
        <v>20</v>
      </c>
    </row>
    <row r="6" spans="1:11" x14ac:dyDescent="0.25">
      <c r="A6" s="143">
        <v>1</v>
      </c>
      <c r="B6" s="144" t="s">
        <v>24</v>
      </c>
      <c r="C6" s="145" t="s">
        <v>65</v>
      </c>
      <c r="D6" s="146">
        <v>20</v>
      </c>
      <c r="F6" s="153"/>
      <c r="G6" s="153"/>
      <c r="H6" s="153"/>
      <c r="I6" s="153"/>
      <c r="J6" s="153"/>
    </row>
    <row r="7" spans="1:11" x14ac:dyDescent="0.25">
      <c r="A7" s="143">
        <v>2</v>
      </c>
      <c r="B7" s="144" t="s">
        <v>19</v>
      </c>
      <c r="C7" s="145" t="s">
        <v>65</v>
      </c>
      <c r="D7" s="146">
        <v>17</v>
      </c>
      <c r="F7" s="153"/>
      <c r="G7" s="153"/>
      <c r="H7" s="153"/>
      <c r="I7" s="153"/>
      <c r="J7" s="153"/>
    </row>
    <row r="8" spans="1:11" x14ac:dyDescent="0.25">
      <c r="A8" s="143">
        <v>2</v>
      </c>
      <c r="B8" s="144" t="s">
        <v>34</v>
      </c>
      <c r="C8" s="145" t="s">
        <v>65</v>
      </c>
      <c r="D8" s="146">
        <v>17</v>
      </c>
      <c r="F8" s="153"/>
      <c r="G8" s="153"/>
      <c r="H8" s="153"/>
      <c r="I8" s="153"/>
      <c r="J8" s="153"/>
    </row>
    <row r="9" spans="1:11" x14ac:dyDescent="0.25">
      <c r="A9" s="143">
        <v>3</v>
      </c>
      <c r="B9" s="144" t="s">
        <v>32</v>
      </c>
      <c r="C9" s="145" t="s">
        <v>65</v>
      </c>
      <c r="D9" s="146">
        <v>15</v>
      </c>
      <c r="F9" s="153"/>
      <c r="G9" s="153"/>
      <c r="H9" s="153"/>
      <c r="I9" s="153"/>
      <c r="J9" s="153"/>
    </row>
    <row r="10" spans="1:11" x14ac:dyDescent="0.25">
      <c r="A10" s="143">
        <v>3</v>
      </c>
      <c r="B10" s="144" t="s">
        <v>20</v>
      </c>
      <c r="C10" s="145" t="s">
        <v>65</v>
      </c>
      <c r="D10" s="146">
        <v>15</v>
      </c>
      <c r="F10" s="153"/>
      <c r="G10" s="153"/>
      <c r="H10" s="153"/>
      <c r="I10" s="153"/>
      <c r="J10" s="153"/>
    </row>
    <row r="11" spans="1:11" x14ac:dyDescent="0.25">
      <c r="A11" s="143">
        <v>4</v>
      </c>
      <c r="B11" s="147" t="s">
        <v>31</v>
      </c>
      <c r="C11" s="145" t="s">
        <v>66</v>
      </c>
      <c r="D11" s="146">
        <v>14</v>
      </c>
      <c r="F11" s="153"/>
      <c r="G11" s="153"/>
      <c r="H11" s="153"/>
      <c r="I11" s="153"/>
      <c r="J11" s="153"/>
    </row>
    <row r="12" spans="1:11" x14ac:dyDescent="0.25">
      <c r="A12" s="143">
        <v>4</v>
      </c>
      <c r="B12" s="144" t="s">
        <v>35</v>
      </c>
      <c r="C12" s="145" t="s">
        <v>66</v>
      </c>
      <c r="D12" s="146">
        <v>14</v>
      </c>
      <c r="F12" s="153"/>
      <c r="G12" s="153"/>
      <c r="H12" s="153"/>
      <c r="I12" s="153"/>
      <c r="J12" s="153"/>
    </row>
    <row r="13" spans="1:11" x14ac:dyDescent="0.25">
      <c r="A13" s="143">
        <v>5</v>
      </c>
      <c r="B13" s="147" t="s">
        <v>33</v>
      </c>
      <c r="C13" s="145" t="s">
        <v>65</v>
      </c>
      <c r="D13" s="146">
        <v>13</v>
      </c>
      <c r="F13" s="153"/>
      <c r="G13" s="153"/>
      <c r="H13" s="153"/>
      <c r="I13" s="153"/>
      <c r="J13" s="153"/>
    </row>
    <row r="14" spans="1:11" x14ac:dyDescent="0.25">
      <c r="A14" s="143">
        <v>5</v>
      </c>
      <c r="B14" s="144" t="s">
        <v>22</v>
      </c>
      <c r="C14" s="145" t="s">
        <v>65</v>
      </c>
      <c r="D14" s="146">
        <v>13</v>
      </c>
      <c r="F14" s="153"/>
      <c r="G14" s="154"/>
      <c r="H14" s="153"/>
      <c r="I14" s="153"/>
      <c r="J14" s="153"/>
    </row>
    <row r="15" spans="1:11" x14ac:dyDescent="0.25">
      <c r="A15" s="143">
        <v>6</v>
      </c>
      <c r="B15" s="144" t="s">
        <v>21</v>
      </c>
      <c r="C15" s="145" t="s">
        <v>65</v>
      </c>
      <c r="D15" s="146">
        <v>12</v>
      </c>
      <c r="F15" s="153"/>
      <c r="G15" s="153"/>
      <c r="H15" s="153"/>
      <c r="I15" s="153"/>
      <c r="J15" s="153"/>
    </row>
    <row r="16" spans="1:11" x14ac:dyDescent="0.25">
      <c r="A16" s="143">
        <v>6</v>
      </c>
      <c r="B16" s="144" t="s">
        <v>25</v>
      </c>
      <c r="C16" s="145" t="s">
        <v>65</v>
      </c>
      <c r="D16" s="146">
        <v>12</v>
      </c>
      <c r="F16" s="153"/>
      <c r="G16" s="153"/>
      <c r="H16" s="153"/>
      <c r="I16" s="153"/>
      <c r="J16" s="153"/>
    </row>
    <row r="17" spans="1:10" x14ac:dyDescent="0.25">
      <c r="A17" s="143">
        <v>7</v>
      </c>
      <c r="B17" s="144" t="s">
        <v>81</v>
      </c>
      <c r="C17" s="145" t="s">
        <v>68</v>
      </c>
      <c r="D17" s="146">
        <v>11</v>
      </c>
      <c r="F17" s="153"/>
      <c r="G17" s="153"/>
      <c r="H17" s="153"/>
      <c r="I17" s="153"/>
      <c r="J17" s="153"/>
    </row>
    <row r="18" spans="1:10" ht="15.75" thickBot="1" x14ac:dyDescent="0.3">
      <c r="A18" s="148">
        <v>7</v>
      </c>
      <c r="B18" s="149" t="s">
        <v>80</v>
      </c>
      <c r="C18" s="150" t="s">
        <v>68</v>
      </c>
      <c r="D18" s="151">
        <v>11</v>
      </c>
      <c r="F18" s="153"/>
      <c r="G18" s="153"/>
      <c r="H18" s="153"/>
      <c r="I18" s="153"/>
      <c r="J18" s="153"/>
    </row>
    <row r="19" spans="1:10" ht="21" x14ac:dyDescent="0.35">
      <c r="A19" s="132"/>
      <c r="B19" s="132"/>
      <c r="C19" s="132"/>
      <c r="D19" s="132"/>
      <c r="E19" s="132"/>
      <c r="F19" s="165"/>
      <c r="G19" s="166"/>
      <c r="H19" s="166"/>
      <c r="I19" s="153"/>
      <c r="J19" s="153"/>
    </row>
    <row r="21" spans="1:10" ht="21" x14ac:dyDescent="0.35">
      <c r="A21" s="132" t="s">
        <v>58</v>
      </c>
      <c r="B21" s="132"/>
      <c r="C21" s="132"/>
      <c r="D21" s="132"/>
      <c r="E21" s="132"/>
      <c r="F21" s="132"/>
      <c r="G21" s="133"/>
    </row>
    <row r="22" spans="1:10" ht="21" x14ac:dyDescent="0.35">
      <c r="A22" s="132"/>
      <c r="B22" s="132"/>
      <c r="C22" s="132"/>
      <c r="D22" s="132"/>
      <c r="E22" s="132"/>
      <c r="F22" s="132"/>
      <c r="G22" s="133"/>
    </row>
    <row r="23" spans="1:10" ht="21" x14ac:dyDescent="0.35">
      <c r="A23" s="132"/>
      <c r="B23" s="132"/>
      <c r="C23" s="132"/>
      <c r="D23" s="132"/>
      <c r="E23" s="132"/>
      <c r="F23" s="132"/>
      <c r="G23" s="133"/>
    </row>
    <row r="24" spans="1:10" ht="21" x14ac:dyDescent="0.35">
      <c r="A24" s="132" t="s">
        <v>59</v>
      </c>
      <c r="B24" s="132"/>
      <c r="C24" s="132"/>
      <c r="D24" s="132"/>
      <c r="E24" s="132"/>
      <c r="F24" s="132"/>
      <c r="G24" s="133"/>
    </row>
  </sheetData>
  <mergeCells count="2">
    <mergeCell ref="A1:D1"/>
    <mergeCell ref="A2:D2"/>
  </mergeCells>
  <pageMargins left="0.75" right="0.49" top="0.7" bottom="1" header="0.5" footer="0.5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58" workbookViewId="0">
      <selection activeCell="B66" sqref="B66:E69"/>
    </sheetView>
  </sheetViews>
  <sheetFormatPr defaultRowHeight="15" x14ac:dyDescent="0.25"/>
  <cols>
    <col min="1" max="1" width="4" style="76" customWidth="1"/>
    <col min="2" max="12" width="10.28515625" customWidth="1"/>
    <col min="13" max="13" width="10.28515625" style="37" customWidth="1"/>
    <col min="14" max="15" width="10.28515625" customWidth="1"/>
  </cols>
  <sheetData>
    <row r="1" spans="2:16" customFormat="1" ht="59.25" customHeight="1" x14ac:dyDescent="0.25">
      <c r="B1" s="167" t="s">
        <v>83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2:16" customFormat="1" ht="15.75" thickBot="1" x14ac:dyDescent="0.3"/>
    <row r="3" spans="2:16" customFormat="1" ht="30" customHeight="1" thickBot="1" x14ac:dyDescent="0.3">
      <c r="B3" s="75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">
        <v>7</v>
      </c>
      <c r="M3" s="4">
        <v>8</v>
      </c>
      <c r="N3" s="3" t="s">
        <v>1</v>
      </c>
      <c r="O3" s="1" t="s">
        <v>3</v>
      </c>
      <c r="P3" s="4" t="s">
        <v>2</v>
      </c>
    </row>
    <row r="4" spans="2:16" customFormat="1" ht="24" customHeight="1" x14ac:dyDescent="0.25">
      <c r="B4" s="80">
        <v>1</v>
      </c>
      <c r="C4" s="82" t="s">
        <v>84</v>
      </c>
      <c r="D4" s="83"/>
      <c r="E4" s="84"/>
      <c r="F4" s="10"/>
      <c r="G4" s="6" t="str">
        <f ca="1">INDIRECT(ADDRESS(33,6))&amp;":"&amp;INDIRECT(ADDRESS(33,7))</f>
        <v>10:6</v>
      </c>
      <c r="H4" s="6" t="str">
        <f ca="1">INDIRECT(ADDRESS(37,7))&amp;":"&amp;INDIRECT(ADDRESS(37,6))</f>
        <v>8:9</v>
      </c>
      <c r="I4" s="6" t="str">
        <f ca="1">INDIRECT(ADDRESS(44,6))&amp;":"&amp;INDIRECT(ADDRESS(44,7))</f>
        <v>13:7</v>
      </c>
      <c r="J4" s="6" t="str">
        <f ca="1">INDIRECT(ADDRESS(50,7))&amp;":"&amp;INDIRECT(ADDRESS(50,6))</f>
        <v>13:3</v>
      </c>
      <c r="K4" s="45" t="str">
        <f ca="1">INDIRECT(ADDRESS(55,6))&amp;":"&amp;INDIRECT(ADDRESS(55,7))</f>
        <v>4:5</v>
      </c>
      <c r="L4" s="45" t="str">
        <f ca="1">INDIRECT(ADDRESS(63,7))&amp;":"&amp;INDIRECT(ADDRESS(63,6))</f>
        <v>13:1</v>
      </c>
      <c r="M4" s="61" t="str">
        <f ca="1">INDIRECT(ADDRESS(24,6))&amp;":"&amp;INDIRECT(ADDRESS(24,7))</f>
        <v>13:0</v>
      </c>
      <c r="N4" s="115">
        <f ca="1">IF(COUNT(F5:M5)=0,"",COUNTIF(F5:M5,"&gt;0")+0.5*COUNTIF(F5:M5,0))</f>
        <v>5</v>
      </c>
      <c r="O4" s="128" t="s">
        <v>30</v>
      </c>
      <c r="P4" s="108">
        <v>2</v>
      </c>
    </row>
    <row r="5" spans="2:16" customFormat="1" ht="24" customHeight="1" x14ac:dyDescent="0.25">
      <c r="B5" s="81"/>
      <c r="C5" s="85"/>
      <c r="D5" s="86"/>
      <c r="E5" s="87"/>
      <c r="F5" s="14"/>
      <c r="G5" s="17">
        <f ca="1">IF(LEN(INDIRECT(ADDRESS(ROW()-1, COLUMN())))=1,"",INDIRECT(ADDRESS(33,6))-INDIRECT(ADDRESS(33,7)))</f>
        <v>4</v>
      </c>
      <c r="H5" s="17">
        <f ca="1">IF(LEN(INDIRECT(ADDRESS(ROW()-1, COLUMN())))=1,"",INDIRECT(ADDRESS(37,7))-INDIRECT(ADDRESS(37,6)))</f>
        <v>-1</v>
      </c>
      <c r="I5" s="17">
        <f ca="1">IF(LEN(INDIRECT(ADDRESS(ROW()-1, COLUMN())))=1,"",INDIRECT(ADDRESS(44,6))-INDIRECT(ADDRESS(44,7)))</f>
        <v>6</v>
      </c>
      <c r="J5" s="17">
        <f ca="1">IF(LEN(INDIRECT(ADDRESS(ROW()-1, COLUMN())))=1,"",INDIRECT(ADDRESS(50,7))-INDIRECT(ADDRESS(50,6)))</f>
        <v>10</v>
      </c>
      <c r="K5" s="46">
        <f ca="1">IF(LEN(INDIRECT(ADDRESS(ROW()-1, COLUMN())))=1,"",INDIRECT(ADDRESS(55,6))-INDIRECT(ADDRESS(55,7)))</f>
        <v>-1</v>
      </c>
      <c r="L5" s="46">
        <f ca="1">IF(LEN(INDIRECT(ADDRESS(ROW()-1, COLUMN())))=1,"",INDIRECT(ADDRESS(63,7))-INDIRECT(ADDRESS(63,6)))</f>
        <v>12</v>
      </c>
      <c r="M5" s="18">
        <f ca="1">IF(LEN(INDIRECT(ADDRESS(ROW()-1, COLUMN())))=1,"",INDIRECT(ADDRESS(24,6))-INDIRECT(ADDRESS(24,7)))</f>
        <v>13</v>
      </c>
      <c r="N5" s="89"/>
      <c r="O5" s="55">
        <v>3</v>
      </c>
      <c r="P5" s="107"/>
    </row>
    <row r="6" spans="2:16" customFormat="1" ht="24" customHeight="1" x14ac:dyDescent="0.25">
      <c r="B6" s="92">
        <v>2</v>
      </c>
      <c r="C6" s="85" t="s">
        <v>85</v>
      </c>
      <c r="D6" s="86"/>
      <c r="E6" s="87"/>
      <c r="F6" s="12" t="str">
        <f ca="1">INDIRECT(ADDRESS(33,7))&amp;":"&amp;INDIRECT(ADDRESS(33,6))</f>
        <v>6:10</v>
      </c>
      <c r="G6" s="8"/>
      <c r="H6" s="7" t="str">
        <f ca="1">INDIRECT(ADDRESS(45,6))&amp;":"&amp;INDIRECT(ADDRESS(45,7))</f>
        <v>6:5</v>
      </c>
      <c r="I6" s="7" t="str">
        <f ca="1">INDIRECT(ADDRESS(49,7))&amp;":"&amp;INDIRECT(ADDRESS(49,6))</f>
        <v>12:8</v>
      </c>
      <c r="J6" s="7" t="str">
        <f ca="1">INDIRECT(ADDRESS(56,6))&amp;":"&amp;INDIRECT(ADDRESS(56,7))</f>
        <v>5:3</v>
      </c>
      <c r="K6" s="47" t="str">
        <f ca="1">INDIRECT(ADDRESS(62,7))&amp;":"&amp;INDIRECT(ADDRESS(62,6))</f>
        <v>6:9</v>
      </c>
      <c r="L6" s="47" t="str">
        <f ca="1">INDIRECT(ADDRESS(25,6))&amp;":"&amp;INDIRECT(ADDRESS(25,7))</f>
        <v>13:4</v>
      </c>
      <c r="M6" s="11" t="str">
        <f ca="1">INDIRECT(ADDRESS(36,6))&amp;":"&amp;INDIRECT(ADDRESS(36,7))</f>
        <v>13:0</v>
      </c>
      <c r="N6" s="89">
        <f ca="1">IF(COUNT(F7:M7)=0,"",COUNTIF(F7:M7,"&gt;0")+0.5*COUNTIF(F7:M7,0))</f>
        <v>5</v>
      </c>
      <c r="O6" s="127" t="s">
        <v>30</v>
      </c>
      <c r="P6" s="106">
        <v>4</v>
      </c>
    </row>
    <row r="7" spans="2:16" customFormat="1" ht="24" customHeight="1" x14ac:dyDescent="0.25">
      <c r="B7" s="81"/>
      <c r="C7" s="85"/>
      <c r="D7" s="86"/>
      <c r="E7" s="87"/>
      <c r="F7" s="23">
        <f ca="1">IF(LEN(INDIRECT(ADDRESS(ROW()-1, COLUMN())))=1,"",INDIRECT(ADDRESS(33,7))-INDIRECT(ADDRESS(33,6)))</f>
        <v>-4</v>
      </c>
      <c r="G7" s="15"/>
      <c r="H7" s="17">
        <f ca="1">IF(LEN(INDIRECT(ADDRESS(ROW()-1, COLUMN())))=1,"",INDIRECT(ADDRESS(45,6))-INDIRECT(ADDRESS(45,7)))</f>
        <v>1</v>
      </c>
      <c r="I7" s="17">
        <f ca="1">IF(LEN(INDIRECT(ADDRESS(ROW()-1, COLUMN())))=1,"",INDIRECT(ADDRESS(49,7))-INDIRECT(ADDRESS(49,6)))</f>
        <v>4</v>
      </c>
      <c r="J7" s="17">
        <f ca="1">IF(LEN(INDIRECT(ADDRESS(ROW()-1, COLUMN())))=1,"",INDIRECT(ADDRESS(56,6))-INDIRECT(ADDRESS(56,7)))</f>
        <v>2</v>
      </c>
      <c r="K7" s="46">
        <f ca="1">IF(LEN(INDIRECT(ADDRESS(ROW()-1, COLUMN())))=1,"",INDIRECT(ADDRESS(62,7))-INDIRECT(ADDRESS(62,6)))</f>
        <v>-3</v>
      </c>
      <c r="L7" s="46">
        <f ca="1">IF(LEN(INDIRECT(ADDRESS(ROW()-1, COLUMN())))=1,"",INDIRECT(ADDRESS(25,6))-INDIRECT(ADDRESS(25,7)))</f>
        <v>9</v>
      </c>
      <c r="M7" s="18">
        <f ca="1">IF(LEN(INDIRECT(ADDRESS(ROW()-1, COLUMN())))=1,"",INDIRECT(ADDRESS(36,6))-INDIRECT(ADDRESS(36,7)))</f>
        <v>13</v>
      </c>
      <c r="N7" s="89"/>
      <c r="O7" s="17">
        <v>-3</v>
      </c>
      <c r="P7" s="107"/>
    </row>
    <row r="8" spans="2:16" customFormat="1" ht="24" customHeight="1" x14ac:dyDescent="0.25">
      <c r="B8" s="92">
        <v>3</v>
      </c>
      <c r="C8" s="85" t="s">
        <v>86</v>
      </c>
      <c r="D8" s="86"/>
      <c r="E8" s="87"/>
      <c r="F8" s="12" t="str">
        <f ca="1">INDIRECT(ADDRESS(37,6))&amp;":"&amp;INDIRECT(ADDRESS(37,7))</f>
        <v>9:8</v>
      </c>
      <c r="G8" s="7" t="str">
        <f ca="1">INDIRECT(ADDRESS(45,7))&amp;":"&amp;INDIRECT(ADDRESS(45,6))</f>
        <v>5:6</v>
      </c>
      <c r="H8" s="8"/>
      <c r="I8" s="7" t="str">
        <f ca="1">INDIRECT(ADDRESS(57,6))&amp;":"&amp;INDIRECT(ADDRESS(57,7))</f>
        <v>9:7</v>
      </c>
      <c r="J8" s="7" t="str">
        <f ca="1">INDIRECT(ADDRESS(61,7))&amp;":"&amp;INDIRECT(ADDRESS(61,6))</f>
        <v>11:1</v>
      </c>
      <c r="K8" s="47" t="str">
        <f ca="1">INDIRECT(ADDRESS(26,6))&amp;":"&amp;INDIRECT(ADDRESS(26,7))</f>
        <v>5:6</v>
      </c>
      <c r="L8" s="47" t="str">
        <f ca="1">INDIRECT(ADDRESS(32,7))&amp;":"&amp;INDIRECT(ADDRESS(32,6))</f>
        <v>13:0</v>
      </c>
      <c r="M8" s="11" t="str">
        <f ca="1">INDIRECT(ADDRESS(48,6))&amp;":"&amp;INDIRECT(ADDRESS(48,7))</f>
        <v>9:7</v>
      </c>
      <c r="N8" s="89">
        <f ca="1">IF(COUNT(F9:M9)=0,"",COUNTIF(F9:M9,"&gt;0")+0.5*COUNTIF(F9:M9,0))</f>
        <v>5</v>
      </c>
      <c r="O8" s="127" t="s">
        <v>30</v>
      </c>
      <c r="P8" s="106">
        <v>3</v>
      </c>
    </row>
    <row r="9" spans="2:16" customFormat="1" ht="24" customHeight="1" x14ac:dyDescent="0.25">
      <c r="B9" s="81"/>
      <c r="C9" s="85"/>
      <c r="D9" s="86"/>
      <c r="E9" s="87"/>
      <c r="F9" s="23">
        <f ca="1">IF(LEN(INDIRECT(ADDRESS(ROW()-1, COLUMN())))=1,"",INDIRECT(ADDRESS(37,6))-INDIRECT(ADDRESS(37,7)))</f>
        <v>1</v>
      </c>
      <c r="G9" s="17">
        <f ca="1">IF(LEN(INDIRECT(ADDRESS(ROW()-1, COLUMN())))=1,"",INDIRECT(ADDRESS(45,7))-INDIRECT(ADDRESS(45,6)))</f>
        <v>-1</v>
      </c>
      <c r="H9" s="15"/>
      <c r="I9" s="17">
        <f ca="1">IF(LEN(INDIRECT(ADDRESS(ROW()-1, COLUMN())))=1,"",INDIRECT(ADDRESS(57,6))-INDIRECT(ADDRESS(57,7)))</f>
        <v>2</v>
      </c>
      <c r="J9" s="17">
        <f ca="1">IF(LEN(INDIRECT(ADDRESS(ROW()-1, COLUMN())))=1,"",INDIRECT(ADDRESS(61,7))-INDIRECT(ADDRESS(61,6)))</f>
        <v>10</v>
      </c>
      <c r="K9" s="46">
        <f ca="1">IF(LEN(INDIRECT(ADDRESS(ROW()-1, COLUMN())))=1,"",INDIRECT(ADDRESS(26,6))-INDIRECT(ADDRESS(26,7)))</f>
        <v>-1</v>
      </c>
      <c r="L9" s="46">
        <f ca="1">IF(LEN(INDIRECT(ADDRESS(ROW()-1, COLUMN())))=1,"",INDIRECT(ADDRESS(32,7))-INDIRECT(ADDRESS(32,6)))</f>
        <v>13</v>
      </c>
      <c r="M9" s="18">
        <f ca="1">IF(LEN(INDIRECT(ADDRESS(ROW()-1, COLUMN())))=1,"",INDIRECT(ADDRESS(48,6))-INDIRECT(ADDRESS(48,7)))</f>
        <v>2</v>
      </c>
      <c r="N9" s="89"/>
      <c r="O9" s="17">
        <v>0</v>
      </c>
      <c r="P9" s="107"/>
    </row>
    <row r="10" spans="2:16" customFormat="1" ht="24" customHeight="1" x14ac:dyDescent="0.25">
      <c r="B10" s="92">
        <v>4</v>
      </c>
      <c r="C10" s="85" t="s">
        <v>87</v>
      </c>
      <c r="D10" s="86"/>
      <c r="E10" s="87"/>
      <c r="F10" s="12" t="str">
        <f ca="1">INDIRECT(ADDRESS(44,7))&amp;":"&amp;INDIRECT(ADDRESS(44,6))</f>
        <v>7:13</v>
      </c>
      <c r="G10" s="7" t="str">
        <f ca="1">INDIRECT(ADDRESS(49,6))&amp;":"&amp;INDIRECT(ADDRESS(49,7))</f>
        <v>8:12</v>
      </c>
      <c r="H10" s="7" t="str">
        <f ca="1">INDIRECT(ADDRESS(57,7))&amp;":"&amp;INDIRECT(ADDRESS(57,6))</f>
        <v>7:9</v>
      </c>
      <c r="I10" s="8"/>
      <c r="J10" s="7" t="str">
        <f ca="1">INDIRECT(ADDRESS(27,6))&amp;":"&amp;INDIRECT(ADDRESS(27,7))</f>
        <v>13:4</v>
      </c>
      <c r="K10" s="47" t="str">
        <f ca="1">INDIRECT(ADDRESS(31,7))&amp;":"&amp;INDIRECT(ADDRESS(31,6))</f>
        <v>12:2</v>
      </c>
      <c r="L10" s="47" t="str">
        <f ca="1">INDIRECT(ADDRESS(38,6))&amp;":"&amp;INDIRECT(ADDRESS(38,7))</f>
        <v>13:0</v>
      </c>
      <c r="M10" s="11" t="str">
        <f ca="1">INDIRECT(ADDRESS(60,6))&amp;":"&amp;INDIRECT(ADDRESS(60,7))</f>
        <v>8:6</v>
      </c>
      <c r="N10" s="89">
        <f ca="1">IF(COUNT(F11:M11)=0,"",COUNTIF(F11:M11,"&gt;0")+0.5*COUNTIF(F11:M11,0))</f>
        <v>4</v>
      </c>
      <c r="O10" s="17"/>
      <c r="P10" s="106">
        <v>5</v>
      </c>
    </row>
    <row r="11" spans="2:16" customFormat="1" ht="24" customHeight="1" x14ac:dyDescent="0.25">
      <c r="B11" s="81"/>
      <c r="C11" s="85"/>
      <c r="D11" s="86"/>
      <c r="E11" s="87"/>
      <c r="F11" s="23">
        <f ca="1">IF(LEN(INDIRECT(ADDRESS(ROW()-1, COLUMN())))=1,"",INDIRECT(ADDRESS(44,7))-INDIRECT(ADDRESS(44,6)))</f>
        <v>-6</v>
      </c>
      <c r="G11" s="17">
        <f ca="1">IF(LEN(INDIRECT(ADDRESS(ROW()-1, COLUMN())))=1,"",INDIRECT(ADDRESS(49,6))-INDIRECT(ADDRESS(49,7)))</f>
        <v>-4</v>
      </c>
      <c r="H11" s="17">
        <f ca="1">IF(LEN(INDIRECT(ADDRESS(ROW()-1, COLUMN())))=1,"",INDIRECT(ADDRESS(57,7))-INDIRECT(ADDRESS(57,6)))</f>
        <v>-2</v>
      </c>
      <c r="I11" s="15"/>
      <c r="J11" s="17">
        <f ca="1">IF(LEN(INDIRECT(ADDRESS(ROW()-1, COLUMN())))=1,"",INDIRECT(ADDRESS(27,6))-INDIRECT(ADDRESS(27,7)))</f>
        <v>9</v>
      </c>
      <c r="K11" s="46">
        <f ca="1">IF(LEN(INDIRECT(ADDRESS(ROW()-1, COLUMN())))=1,"",INDIRECT(ADDRESS(31,7))-INDIRECT(ADDRESS(31,6)))</f>
        <v>10</v>
      </c>
      <c r="L11" s="46">
        <f ca="1">IF(LEN(INDIRECT(ADDRESS(ROW()-1, COLUMN())))=1,"",INDIRECT(ADDRESS(38,6))-INDIRECT(ADDRESS(38,7)))</f>
        <v>13</v>
      </c>
      <c r="M11" s="18">
        <f ca="1">IF(LEN(INDIRECT(ADDRESS(ROW()-1, COLUMN())))=1,"",INDIRECT(ADDRESS(60,6))-INDIRECT(ADDRESS(60,7)))</f>
        <v>2</v>
      </c>
      <c r="N11" s="89"/>
      <c r="O11" s="17"/>
      <c r="P11" s="107"/>
    </row>
    <row r="12" spans="2:16" customFormat="1" ht="24" customHeight="1" x14ac:dyDescent="0.25">
      <c r="B12" s="92">
        <v>5</v>
      </c>
      <c r="C12" s="85" t="s">
        <v>88</v>
      </c>
      <c r="D12" s="86"/>
      <c r="E12" s="87"/>
      <c r="F12" s="12" t="str">
        <f ca="1">INDIRECT(ADDRESS(50,6))&amp;":"&amp;INDIRECT(ADDRESS(50,7))</f>
        <v>3:13</v>
      </c>
      <c r="G12" s="7" t="str">
        <f ca="1">INDIRECT(ADDRESS(56,7))&amp;":"&amp;INDIRECT(ADDRESS(56,6))</f>
        <v>3:5</v>
      </c>
      <c r="H12" s="7" t="str">
        <f ca="1">INDIRECT(ADDRESS(61,6))&amp;":"&amp;INDIRECT(ADDRESS(61,7))</f>
        <v>1:11</v>
      </c>
      <c r="I12" s="7" t="str">
        <f ca="1">INDIRECT(ADDRESS(27,7))&amp;":"&amp;INDIRECT(ADDRESS(27,6))</f>
        <v>4:13</v>
      </c>
      <c r="J12" s="8"/>
      <c r="K12" s="47" t="str">
        <f ca="1">INDIRECT(ADDRESS(39,6))&amp;":"&amp;INDIRECT(ADDRESS(39,7))</f>
        <v>4:6</v>
      </c>
      <c r="L12" s="47" t="str">
        <f ca="1">INDIRECT(ADDRESS(43,7))&amp;":"&amp;INDIRECT(ADDRESS(43,6))</f>
        <v>10:9</v>
      </c>
      <c r="M12" s="11" t="str">
        <f ca="1">INDIRECT(ADDRESS(30,7))&amp;":"&amp;INDIRECT(ADDRESS(30,6))</f>
        <v>6:8</v>
      </c>
      <c r="N12" s="89">
        <f ca="1">IF(COUNT(F13:M13)=0,"",COUNTIF(F13:M13,"&gt;0")+0.5*COUNTIF(F13:M13,0))</f>
        <v>1</v>
      </c>
      <c r="O12" s="127" t="s">
        <v>30</v>
      </c>
      <c r="P12" s="106">
        <v>8</v>
      </c>
    </row>
    <row r="13" spans="2:16" customFormat="1" ht="24" customHeight="1" x14ac:dyDescent="0.25">
      <c r="B13" s="81"/>
      <c r="C13" s="85"/>
      <c r="D13" s="86"/>
      <c r="E13" s="87"/>
      <c r="F13" s="23">
        <f ca="1">IF(LEN(INDIRECT(ADDRESS(ROW()-1, COLUMN())))=1,"",INDIRECT(ADDRESS(50,6))-INDIRECT(ADDRESS(50,7)))</f>
        <v>-10</v>
      </c>
      <c r="G13" s="17">
        <f ca="1">IF(LEN(INDIRECT(ADDRESS(ROW()-1, COLUMN())))=1,"",INDIRECT(ADDRESS(56,7))-INDIRECT(ADDRESS(56,6)))</f>
        <v>-2</v>
      </c>
      <c r="H13" s="17">
        <f ca="1">IF(LEN(INDIRECT(ADDRESS(ROW()-1, COLUMN())))=1,"",INDIRECT(ADDRESS(61,6))-INDIRECT(ADDRESS(61,7)))</f>
        <v>-10</v>
      </c>
      <c r="I13" s="17">
        <f ca="1">IF(LEN(INDIRECT(ADDRESS(ROW()-1, COLUMN())))=1,"",INDIRECT(ADDRESS(27,7))-INDIRECT(ADDRESS(27,6)))</f>
        <v>-9</v>
      </c>
      <c r="J13" s="15"/>
      <c r="K13" s="46">
        <f ca="1">IF(LEN(INDIRECT(ADDRESS(ROW()-1, COLUMN())))=1,"",INDIRECT(ADDRESS(39,6))-INDIRECT(ADDRESS(39,7)))</f>
        <v>-2</v>
      </c>
      <c r="L13" s="46">
        <f ca="1">IF(LEN(INDIRECT(ADDRESS(ROW()-1, COLUMN())))=1,"",INDIRECT(ADDRESS(43,7))-INDIRECT(ADDRESS(43,6)))</f>
        <v>1</v>
      </c>
      <c r="M13" s="18">
        <f ca="1">IF(LEN(INDIRECT(ADDRESS(ROW()-1, COLUMN())))=1,"",INDIRECT(ADDRESS(30,7))-INDIRECT(ADDRESS(30,6)))</f>
        <v>-2</v>
      </c>
      <c r="N13" s="89"/>
      <c r="O13" s="17">
        <v>-1</v>
      </c>
      <c r="P13" s="107"/>
    </row>
    <row r="14" spans="2:16" customFormat="1" ht="24" customHeight="1" x14ac:dyDescent="0.25">
      <c r="B14" s="92">
        <v>6</v>
      </c>
      <c r="C14" s="85" t="s">
        <v>89</v>
      </c>
      <c r="D14" s="86"/>
      <c r="E14" s="87"/>
      <c r="F14" s="12" t="str">
        <f ca="1">INDIRECT(ADDRESS(55,7))&amp;":"&amp;INDIRECT(ADDRESS(55,6))</f>
        <v>5:4</v>
      </c>
      <c r="G14" s="7" t="str">
        <f ca="1">INDIRECT(ADDRESS(62,6))&amp;":"&amp;INDIRECT(ADDRESS(62,7))</f>
        <v>9:6</v>
      </c>
      <c r="H14" s="7" t="str">
        <f ca="1">INDIRECT(ADDRESS(26,7))&amp;":"&amp;INDIRECT(ADDRESS(26,6))</f>
        <v>6:5</v>
      </c>
      <c r="I14" s="7" t="str">
        <f ca="1">INDIRECT(ADDRESS(31,6))&amp;":"&amp;INDIRECT(ADDRESS(31,7))</f>
        <v>2:12</v>
      </c>
      <c r="J14" s="7" t="str">
        <f ca="1">INDIRECT(ADDRESS(39,7))&amp;":"&amp;INDIRECT(ADDRESS(39,6))</f>
        <v>6:4</v>
      </c>
      <c r="K14" s="48"/>
      <c r="L14" s="57" t="str">
        <f ca="1">INDIRECT(ADDRESS(51,6))&amp;":"&amp;INDIRECT(ADDRESS(51,7))</f>
        <v>13:4</v>
      </c>
      <c r="M14" s="52" t="str">
        <f ca="1">INDIRECT(ADDRESS(42,7))&amp;":"&amp;INDIRECT(ADDRESS(42,6))</f>
        <v>9:7</v>
      </c>
      <c r="N14" s="89">
        <f ca="1">IF(COUNT(F15:M15)=0,"",COUNTIF(F15:M15,"&gt;0")+0.5*COUNTIF(F15:M15,0))</f>
        <v>6</v>
      </c>
      <c r="O14" s="17"/>
      <c r="P14" s="106">
        <v>1</v>
      </c>
    </row>
    <row r="15" spans="2:16" customFormat="1" ht="24" customHeight="1" x14ac:dyDescent="0.25">
      <c r="B15" s="81"/>
      <c r="C15" s="85"/>
      <c r="D15" s="86"/>
      <c r="E15" s="87"/>
      <c r="F15" s="23">
        <f ca="1">IF(LEN(INDIRECT(ADDRESS(ROW()-1, COLUMN())))=1,"",INDIRECT(ADDRESS(55,7))-INDIRECT(ADDRESS(55,6)))</f>
        <v>1</v>
      </c>
      <c r="G15" s="17">
        <f ca="1">IF(LEN(INDIRECT(ADDRESS(ROW()-1, COLUMN())))=1,"",INDIRECT(ADDRESS(62,6))-INDIRECT(ADDRESS(62,7)))</f>
        <v>3</v>
      </c>
      <c r="H15" s="17">
        <f ca="1">IF(LEN(INDIRECT(ADDRESS(ROW()-1, COLUMN())))=1,"",INDIRECT(ADDRESS(26,7))-INDIRECT(ADDRESS(26,6)))</f>
        <v>1</v>
      </c>
      <c r="I15" s="17">
        <f ca="1">IF(LEN(INDIRECT(ADDRESS(ROW()-1, COLUMN())))=1,"",INDIRECT(ADDRESS(31,6))-INDIRECT(ADDRESS(31,7)))</f>
        <v>-10</v>
      </c>
      <c r="J15" s="17">
        <f ca="1">IF(LEN(INDIRECT(ADDRESS(ROW()-1, COLUMN())))=1,"",INDIRECT(ADDRESS(39,7))-INDIRECT(ADDRESS(39,6)))</f>
        <v>2</v>
      </c>
      <c r="K15" s="49"/>
      <c r="L15" s="58">
        <f ca="1">IF(LEN(INDIRECT(ADDRESS(ROW()-1, COLUMN())))=1,"",INDIRECT(ADDRESS(51,6))-INDIRECT(ADDRESS(51,7)))</f>
        <v>9</v>
      </c>
      <c r="M15" s="53">
        <f ca="1">IF(LEN(INDIRECT(ADDRESS(ROW()-1, COLUMN())))=1,"",INDIRECT(ADDRESS(42,7))-INDIRECT(ADDRESS(42,6)))</f>
        <v>2</v>
      </c>
      <c r="N15" s="89"/>
      <c r="O15" s="17"/>
      <c r="P15" s="107"/>
    </row>
    <row r="16" spans="2:16" customFormat="1" ht="24" customHeight="1" x14ac:dyDescent="0.25">
      <c r="B16" s="110">
        <v>7</v>
      </c>
      <c r="C16" s="111" t="s">
        <v>90</v>
      </c>
      <c r="D16" s="112"/>
      <c r="E16" s="113"/>
      <c r="F16" s="40" t="str">
        <f ca="1">INDIRECT(ADDRESS(63,6))&amp;":"&amp;INDIRECT(ADDRESS(63,7))</f>
        <v>1:13</v>
      </c>
      <c r="G16" s="41" t="str">
        <f ca="1">INDIRECT(ADDRESS(25,7))&amp;":"&amp;INDIRECT(ADDRESS(25,6))</f>
        <v>4:13</v>
      </c>
      <c r="H16" s="41" t="str">
        <f ca="1">INDIRECT(ADDRESS(32,6))&amp;":"&amp;INDIRECT(ADDRESS(32,7))</f>
        <v>0:13</v>
      </c>
      <c r="I16" s="41" t="str">
        <f ca="1">INDIRECT(ADDRESS(38,7))&amp;":"&amp;INDIRECT(ADDRESS(38,6))</f>
        <v>0:13</v>
      </c>
      <c r="J16" s="41" t="str">
        <f ca="1">INDIRECT(ADDRESS(43,6))&amp;":"&amp;INDIRECT(ADDRESS(43,7))</f>
        <v>9:10</v>
      </c>
      <c r="K16" s="50" t="str">
        <f ca="1">INDIRECT(ADDRESS(51,7))&amp;":"&amp;INDIRECT(ADDRESS(51,6))</f>
        <v>4:13</v>
      </c>
      <c r="L16" s="59"/>
      <c r="M16" s="44" t="str">
        <f ca="1">INDIRECT(ADDRESS(54,7))&amp;":"&amp;INDIRECT(ADDRESS(54,6))</f>
        <v>13:11</v>
      </c>
      <c r="N16" s="89">
        <f ca="1">IF(COUNT(F17:M17)=0,"",COUNTIF(F17:M17,"&gt;0")+0.5*COUNTIF(F17:M17,0))</f>
        <v>1</v>
      </c>
      <c r="O16" s="127" t="s">
        <v>30</v>
      </c>
      <c r="P16" s="114">
        <v>6</v>
      </c>
    </row>
    <row r="17" spans="2:16" customFormat="1" ht="24" customHeight="1" x14ac:dyDescent="0.25">
      <c r="B17" s="110"/>
      <c r="C17" s="116"/>
      <c r="D17" s="117"/>
      <c r="E17" s="118"/>
      <c r="F17" s="54">
        <f ca="1">IF(LEN(INDIRECT(ADDRESS(ROW()-1, COLUMN())))=1,"",INDIRECT(ADDRESS(63,6))-INDIRECT(ADDRESS(63,7)))</f>
        <v>-12</v>
      </c>
      <c r="G17" s="55">
        <f ca="1">IF(LEN(INDIRECT(ADDRESS(ROW()-1, COLUMN())))=1,"",INDIRECT(ADDRESS(25,7))-INDIRECT(ADDRESS(25,6)))</f>
        <v>-9</v>
      </c>
      <c r="H17" s="55">
        <f ca="1">IF(LEN(INDIRECT(ADDRESS(ROW()-1, COLUMN())))=1,"",INDIRECT(ADDRESS(32,6))-INDIRECT(ADDRESS(32,7)))</f>
        <v>-13</v>
      </c>
      <c r="I17" s="55">
        <f ca="1">IF(LEN(INDIRECT(ADDRESS(ROW()-1, COLUMN())))=1,"",INDIRECT(ADDRESS(38,7))-INDIRECT(ADDRESS(38,6)))</f>
        <v>-13</v>
      </c>
      <c r="J17" s="55">
        <f ca="1">IF(LEN(INDIRECT(ADDRESS(ROW()-1, COLUMN())))=1,"",INDIRECT(ADDRESS(43,6))-INDIRECT(ADDRESS(43,7)))</f>
        <v>-1</v>
      </c>
      <c r="K17" s="56">
        <f ca="1">IF(LEN(INDIRECT(ADDRESS(ROW()-1, COLUMN())))=1,"",INDIRECT(ADDRESS(51,7))-INDIRECT(ADDRESS(51,6)))</f>
        <v>-9</v>
      </c>
      <c r="L17" s="60"/>
      <c r="M17" s="62">
        <f ca="1">IF(LEN(INDIRECT(ADDRESS(ROW()-1, COLUMN())))=1,"",INDIRECT(ADDRESS(54,7))-INDIRECT(ADDRESS(54,6)))</f>
        <v>2</v>
      </c>
      <c r="N17" s="119"/>
      <c r="O17" s="17">
        <v>1</v>
      </c>
      <c r="P17" s="114"/>
    </row>
    <row r="18" spans="2:16" customFormat="1" ht="24" customHeight="1" x14ac:dyDescent="0.25">
      <c r="B18" s="92">
        <v>8</v>
      </c>
      <c r="C18" s="85" t="s">
        <v>91</v>
      </c>
      <c r="D18" s="86"/>
      <c r="E18" s="87"/>
      <c r="F18" s="12" t="str">
        <f ca="1">INDIRECT(ADDRESS(24,7))&amp;":"&amp;INDIRECT(ADDRESS(24,6))</f>
        <v>0:13</v>
      </c>
      <c r="G18" s="7" t="str">
        <f ca="1">INDIRECT(ADDRESS(36,7))&amp;":"&amp;INDIRECT(ADDRESS(36,6))</f>
        <v>0:13</v>
      </c>
      <c r="H18" s="7" t="str">
        <f ca="1">INDIRECT(ADDRESS(48,7))&amp;":"&amp;INDIRECT(ADDRESS(48,6))</f>
        <v>7:9</v>
      </c>
      <c r="I18" s="7" t="str">
        <f ca="1">INDIRECT(ADDRESS(60,7))&amp;":"&amp;INDIRECT(ADDRESS(60,6))</f>
        <v>6:8</v>
      </c>
      <c r="J18" s="7" t="str">
        <f ca="1">INDIRECT(ADDRESS(30,6))&amp;":"&amp;INDIRECT(ADDRESS(30,7))</f>
        <v>8:6</v>
      </c>
      <c r="K18" s="57" t="str">
        <f ca="1">INDIRECT(ADDRESS(42,6))&amp;":"&amp;INDIRECT(ADDRESS(42,7))</f>
        <v>7:9</v>
      </c>
      <c r="L18" s="57" t="str">
        <f ca="1">INDIRECT(ADDRESS(54,6))&amp;":"&amp;INDIRECT(ADDRESS(54,7))</f>
        <v>11:13</v>
      </c>
      <c r="M18" s="13"/>
      <c r="N18" s="89">
        <f ca="1">IF(COUNT(F19:M19)=0,"",COUNTIF(F19:M19,"&gt;0")+0.5*COUNTIF(F19:M19,0))</f>
        <v>1</v>
      </c>
      <c r="O18" s="168" t="s">
        <v>30</v>
      </c>
      <c r="P18" s="106">
        <v>7</v>
      </c>
    </row>
    <row r="19" spans="2:16" customFormat="1" ht="24" customHeight="1" thickBot="1" x14ac:dyDescent="0.3">
      <c r="B19" s="93"/>
      <c r="C19" s="94"/>
      <c r="D19" s="95"/>
      <c r="E19" s="96"/>
      <c r="F19" s="20">
        <f ca="1">IF(LEN(INDIRECT(ADDRESS(ROW()-1, COLUMN())))=1,"",INDIRECT(ADDRESS(24,7))-INDIRECT(ADDRESS(24,6)))</f>
        <v>-13</v>
      </c>
      <c r="G19" s="19">
        <f ca="1">IF(LEN(INDIRECT(ADDRESS(ROW()-1, COLUMN())))=1,"",INDIRECT(ADDRESS(36,7))-INDIRECT(ADDRESS(36,6)))</f>
        <v>-13</v>
      </c>
      <c r="H19" s="19">
        <f ca="1">IF(LEN(INDIRECT(ADDRESS(ROW()-1, COLUMN())))=1,"",INDIRECT(ADDRESS(48,7))-INDIRECT(ADDRESS(48,6)))</f>
        <v>-2</v>
      </c>
      <c r="I19" s="19">
        <f ca="1">IF(LEN(INDIRECT(ADDRESS(ROW()-1, COLUMN())))=1,"",INDIRECT(ADDRESS(60,7))-INDIRECT(ADDRESS(60,6)))</f>
        <v>-2</v>
      </c>
      <c r="J19" s="19">
        <f ca="1">IF(LEN(INDIRECT(ADDRESS(ROW()-1, COLUMN())))=1,"",INDIRECT(ADDRESS(30,6))-INDIRECT(ADDRESS(30,7)))</f>
        <v>2</v>
      </c>
      <c r="K19" s="51">
        <f ca="1">IF(LEN(INDIRECT(ADDRESS(ROW()-1, COLUMN())))=1,"",INDIRECT(ADDRESS(42,6))-INDIRECT(ADDRESS(42,7)))</f>
        <v>-2</v>
      </c>
      <c r="L19" s="51">
        <f ca="1">IF(LEN(INDIRECT(ADDRESS(ROW()-1, COLUMN())))=1,"",INDIRECT(ADDRESS(54,6))-INDIRECT(ADDRESS(54,7)))</f>
        <v>-2</v>
      </c>
      <c r="M19" s="16"/>
      <c r="N19" s="97"/>
      <c r="O19" s="19">
        <v>0</v>
      </c>
      <c r="P19" s="109"/>
    </row>
    <row r="20" spans="2:16" customFormat="1" x14ac:dyDescent="0.25"/>
    <row r="21" spans="2:16" customFormat="1" x14ac:dyDescent="0.25"/>
    <row r="22" spans="2:16" customFormat="1" x14ac:dyDescent="0.25"/>
    <row r="23" spans="2:16" customFormat="1" ht="30" customHeight="1" thickBot="1" x14ac:dyDescent="0.3">
      <c r="B23" s="99" t="s">
        <v>4</v>
      </c>
      <c r="C23" s="99"/>
      <c r="D23" s="99"/>
      <c r="E23" s="99"/>
      <c r="F23" s="99"/>
      <c r="G23" s="99"/>
      <c r="H23" s="99"/>
      <c r="I23" s="99"/>
      <c r="J23" s="99"/>
      <c r="K23" s="99"/>
    </row>
    <row r="24" spans="2:16" customFormat="1" ht="30" customHeight="1" thickBot="1" x14ac:dyDescent="0.3">
      <c r="B24" s="5">
        <v>1</v>
      </c>
      <c r="C24" s="100" t="str">
        <f ca="1">IF(ISBLANK(INDIRECT(ADDRESS(B24*2+2,3))),"",INDIRECT(ADDRESS(B24*2+2,3)))</f>
        <v>Дегтярёва М., Дегтярёва Л.</v>
      </c>
      <c r="D24" s="100"/>
      <c r="E24" s="101"/>
      <c r="F24" s="26">
        <v>13</v>
      </c>
      <c r="G24" s="27">
        <v>0</v>
      </c>
      <c r="H24" s="102" t="str">
        <f ca="1">IF(ISBLANK(INDIRECT(ADDRESS(K24*2+2,3))),"",INDIRECT(ADDRESS(K24*2+2,3)))</f>
        <v>Шустваль Н., Помазан Л.</v>
      </c>
      <c r="I24" s="100"/>
      <c r="J24" s="100"/>
      <c r="K24" s="5">
        <v>8</v>
      </c>
      <c r="L24" s="35" t="s">
        <v>11</v>
      </c>
      <c r="M24" s="36">
        <v>1</v>
      </c>
    </row>
    <row r="25" spans="2:16" customFormat="1" ht="30" customHeight="1" thickBot="1" x14ac:dyDescent="0.3">
      <c r="B25" s="5">
        <v>2</v>
      </c>
      <c r="C25" s="100" t="str">
        <f ca="1">IF(ISBLANK(INDIRECT(ADDRESS(B25*2+2,3))),"",INDIRECT(ADDRESS(B25*2+2,3)))</f>
        <v>Мыльцева О., Мыльцева О. (мл.)</v>
      </c>
      <c r="D25" s="100"/>
      <c r="E25" s="101"/>
      <c r="F25" s="26">
        <v>13</v>
      </c>
      <c r="G25" s="27">
        <v>4</v>
      </c>
      <c r="H25" s="102" t="str">
        <f ca="1">IF(ISBLANK(INDIRECT(ADDRESS(K25*2+2,3))),"",INDIRECT(ADDRESS(K25*2+2,3)))</f>
        <v>Пилипенко И., Николаенко Ю.</v>
      </c>
      <c r="I25" s="100"/>
      <c r="J25" s="100"/>
      <c r="K25" s="5">
        <v>7</v>
      </c>
      <c r="L25" s="35" t="s">
        <v>11</v>
      </c>
      <c r="M25" s="36">
        <v>2</v>
      </c>
    </row>
    <row r="26" spans="2:16" customFormat="1" ht="30" customHeight="1" thickBot="1" x14ac:dyDescent="0.3">
      <c r="B26" s="5">
        <v>3</v>
      </c>
      <c r="C26" s="100" t="str">
        <f ca="1">IF(ISBLANK(INDIRECT(ADDRESS(B26*2+2,3))),"",INDIRECT(ADDRESS(B26*2+2,3)))</f>
        <v>Фёдорова А., Корсакова О.</v>
      </c>
      <c r="D26" s="100"/>
      <c r="E26" s="101"/>
      <c r="F26" s="26">
        <v>5</v>
      </c>
      <c r="G26" s="27">
        <v>6</v>
      </c>
      <c r="H26" s="102" t="str">
        <f ca="1">IF(ISBLANK(INDIRECT(ADDRESS(K26*2+2,3))),"",INDIRECT(ADDRESS(K26*2+2,3)))</f>
        <v>Пищанская Н., Костяная Е.</v>
      </c>
      <c r="I26" s="100"/>
      <c r="J26" s="100"/>
      <c r="K26" s="5">
        <v>6</v>
      </c>
      <c r="L26" s="35" t="s">
        <v>11</v>
      </c>
      <c r="M26" s="36">
        <v>3</v>
      </c>
    </row>
    <row r="27" spans="2:16" customFormat="1" ht="30" customHeight="1" thickBot="1" x14ac:dyDescent="0.3">
      <c r="B27" s="5">
        <v>4</v>
      </c>
      <c r="C27" s="100" t="str">
        <f ca="1">IF(ISBLANK(INDIRECT(ADDRESS(B27*2+2,3))),"",INDIRECT(ADDRESS(B27*2+2,3)))</f>
        <v>Семченкова М., Сапронова М.</v>
      </c>
      <c r="D27" s="100"/>
      <c r="E27" s="101"/>
      <c r="F27" s="26">
        <v>13</v>
      </c>
      <c r="G27" s="27">
        <v>4</v>
      </c>
      <c r="H27" s="102" t="str">
        <f ca="1">IF(ISBLANK(INDIRECT(ADDRESS(K27*2+2,3))),"",INDIRECT(ADDRESS(K27*2+2,3)))</f>
        <v>Маркина Е., Погорелова А.</v>
      </c>
      <c r="I27" s="100"/>
      <c r="J27" s="100"/>
      <c r="K27" s="5">
        <v>5</v>
      </c>
      <c r="L27" s="35" t="s">
        <v>11</v>
      </c>
      <c r="M27" s="36">
        <v>4</v>
      </c>
    </row>
    <row r="28" spans="2:16" customFormat="1" ht="30" customHeight="1" x14ac:dyDescent="0.25">
      <c r="M28" s="38"/>
    </row>
    <row r="29" spans="2:16" customFormat="1" ht="30" customHeight="1" thickBot="1" x14ac:dyDescent="0.3">
      <c r="B29" s="99" t="s">
        <v>5</v>
      </c>
      <c r="C29" s="99"/>
      <c r="D29" s="99"/>
      <c r="E29" s="99"/>
      <c r="F29" s="99"/>
      <c r="G29" s="99"/>
      <c r="H29" s="99"/>
      <c r="I29" s="99"/>
      <c r="J29" s="99"/>
      <c r="K29" s="99"/>
      <c r="M29" s="38"/>
    </row>
    <row r="30" spans="2:16" customFormat="1" ht="30" customHeight="1" thickBot="1" x14ac:dyDescent="0.3">
      <c r="B30" s="5">
        <v>8</v>
      </c>
      <c r="C30" s="100" t="str">
        <f ca="1">IF(ISBLANK(INDIRECT(ADDRESS(B30*2+2,3))),"",INDIRECT(ADDRESS(B30*2+2,3)))</f>
        <v>Шустваль Н., Помазан Л.</v>
      </c>
      <c r="D30" s="100"/>
      <c r="E30" s="101"/>
      <c r="F30" s="26">
        <v>8</v>
      </c>
      <c r="G30" s="27">
        <v>6</v>
      </c>
      <c r="H30" s="102" t="str">
        <f ca="1">IF(ISBLANK(INDIRECT(ADDRESS(K30*2+2,3))),"",INDIRECT(ADDRESS(K30*2+2,3)))</f>
        <v>Маркина Е., Погорелова А.</v>
      </c>
      <c r="I30" s="100"/>
      <c r="J30" s="100"/>
      <c r="K30" s="5">
        <v>5</v>
      </c>
      <c r="L30" s="35" t="s">
        <v>11</v>
      </c>
      <c r="M30" s="36">
        <v>2</v>
      </c>
    </row>
    <row r="31" spans="2:16" customFormat="1" ht="30" customHeight="1" thickBot="1" x14ac:dyDescent="0.3">
      <c r="B31" s="5">
        <v>6</v>
      </c>
      <c r="C31" s="100" t="str">
        <f ca="1">IF(ISBLANK(INDIRECT(ADDRESS(B31*2+2,3))),"",INDIRECT(ADDRESS(B31*2+2,3)))</f>
        <v>Пищанская Н., Костяная Е.</v>
      </c>
      <c r="D31" s="100"/>
      <c r="E31" s="101"/>
      <c r="F31" s="26">
        <v>2</v>
      </c>
      <c r="G31" s="27">
        <v>12</v>
      </c>
      <c r="H31" s="102" t="str">
        <f ca="1">IF(ISBLANK(INDIRECT(ADDRESS(K31*2+2,3))),"",INDIRECT(ADDRESS(K31*2+2,3)))</f>
        <v>Семченкова М., Сапронова М.</v>
      </c>
      <c r="I31" s="100"/>
      <c r="J31" s="100"/>
      <c r="K31" s="5">
        <v>4</v>
      </c>
      <c r="L31" s="35" t="s">
        <v>11</v>
      </c>
      <c r="M31" s="36">
        <v>1</v>
      </c>
    </row>
    <row r="32" spans="2:16" customFormat="1" ht="30" customHeight="1" thickBot="1" x14ac:dyDescent="0.3">
      <c r="B32" s="5">
        <v>7</v>
      </c>
      <c r="C32" s="100" t="str">
        <f ca="1">IF(ISBLANK(INDIRECT(ADDRESS(B32*2+2,3))),"",INDIRECT(ADDRESS(B32*2+2,3)))</f>
        <v>Пилипенко И., Николаенко Ю.</v>
      </c>
      <c r="D32" s="100"/>
      <c r="E32" s="101"/>
      <c r="F32" s="26">
        <v>0</v>
      </c>
      <c r="G32" s="27">
        <v>13</v>
      </c>
      <c r="H32" s="102" t="str">
        <f ca="1">IF(ISBLANK(INDIRECT(ADDRESS(K32*2+2,3))),"",INDIRECT(ADDRESS(K32*2+2,3)))</f>
        <v>Фёдорова А., Корсакова О.</v>
      </c>
      <c r="I32" s="100"/>
      <c r="J32" s="100"/>
      <c r="K32" s="5">
        <v>3</v>
      </c>
      <c r="L32" s="35" t="s">
        <v>11</v>
      </c>
      <c r="M32" s="36">
        <v>4</v>
      </c>
    </row>
    <row r="33" spans="2:13" customFormat="1" ht="30" customHeight="1" thickBot="1" x14ac:dyDescent="0.3">
      <c r="B33" s="5">
        <v>1</v>
      </c>
      <c r="C33" s="100" t="str">
        <f ca="1">IF(ISBLANK(INDIRECT(ADDRESS(B33*2+2,3))),"",INDIRECT(ADDRESS(B33*2+2,3)))</f>
        <v>Дегтярёва М., Дегтярёва Л.</v>
      </c>
      <c r="D33" s="100"/>
      <c r="E33" s="101"/>
      <c r="F33" s="26">
        <v>10</v>
      </c>
      <c r="G33" s="27">
        <v>6</v>
      </c>
      <c r="H33" s="102" t="str">
        <f ca="1">IF(ISBLANK(INDIRECT(ADDRESS(K33*2+2,3))),"",INDIRECT(ADDRESS(K33*2+2,3)))</f>
        <v>Мыльцева О., Мыльцева О. (мл.)</v>
      </c>
      <c r="I33" s="100"/>
      <c r="J33" s="100"/>
      <c r="K33" s="5">
        <v>2</v>
      </c>
      <c r="L33" s="35" t="s">
        <v>11</v>
      </c>
      <c r="M33" s="36">
        <v>3</v>
      </c>
    </row>
    <row r="34" spans="2:13" customFormat="1" ht="30" customHeight="1" x14ac:dyDescent="0.25">
      <c r="M34" s="38"/>
    </row>
    <row r="35" spans="2:13" customFormat="1" ht="30" customHeight="1" thickBot="1" x14ac:dyDescent="0.3">
      <c r="B35" s="99" t="s">
        <v>6</v>
      </c>
      <c r="C35" s="99"/>
      <c r="D35" s="99"/>
      <c r="E35" s="99"/>
      <c r="F35" s="99"/>
      <c r="G35" s="99"/>
      <c r="H35" s="99"/>
      <c r="I35" s="99"/>
      <c r="J35" s="99"/>
      <c r="K35" s="99"/>
      <c r="M35" s="38"/>
    </row>
    <row r="36" spans="2:13" customFormat="1" ht="30" customHeight="1" thickBot="1" x14ac:dyDescent="0.3">
      <c r="B36" s="5">
        <v>2</v>
      </c>
      <c r="C36" s="100" t="str">
        <f ca="1">IF(ISBLANK(INDIRECT(ADDRESS(B36*2+2,3))),"",INDIRECT(ADDRESS(B36*2+2,3)))</f>
        <v>Мыльцева О., Мыльцева О. (мл.)</v>
      </c>
      <c r="D36" s="100"/>
      <c r="E36" s="101"/>
      <c r="F36" s="26">
        <v>13</v>
      </c>
      <c r="G36" s="27">
        <v>0</v>
      </c>
      <c r="H36" s="102" t="str">
        <f ca="1">IF(ISBLANK(INDIRECT(ADDRESS(K36*2+2,3))),"",INDIRECT(ADDRESS(K36*2+2,3)))</f>
        <v>Шустваль Н., Помазан Л.</v>
      </c>
      <c r="I36" s="100"/>
      <c r="J36" s="100"/>
      <c r="K36" s="5">
        <v>8</v>
      </c>
      <c r="L36" s="35" t="s">
        <v>11</v>
      </c>
      <c r="M36" s="36">
        <v>4</v>
      </c>
    </row>
    <row r="37" spans="2:13" customFormat="1" ht="30" customHeight="1" thickBot="1" x14ac:dyDescent="0.3">
      <c r="B37" s="5">
        <v>3</v>
      </c>
      <c r="C37" s="100" t="str">
        <f ca="1">IF(ISBLANK(INDIRECT(ADDRESS(B37*2+2,3))),"",INDIRECT(ADDRESS(B37*2+2,3)))</f>
        <v>Фёдорова А., Корсакова О.</v>
      </c>
      <c r="D37" s="100"/>
      <c r="E37" s="101"/>
      <c r="F37" s="26">
        <v>9</v>
      </c>
      <c r="G37" s="27">
        <v>8</v>
      </c>
      <c r="H37" s="102" t="str">
        <f ca="1">IF(ISBLANK(INDIRECT(ADDRESS(K37*2+2,3))),"",INDIRECT(ADDRESS(K37*2+2,3)))</f>
        <v>Дегтярёва М., Дегтярёва Л.</v>
      </c>
      <c r="I37" s="100"/>
      <c r="J37" s="100"/>
      <c r="K37" s="5">
        <v>1</v>
      </c>
      <c r="L37" s="35" t="s">
        <v>11</v>
      </c>
      <c r="M37" s="36">
        <v>3</v>
      </c>
    </row>
    <row r="38" spans="2:13" customFormat="1" ht="30" customHeight="1" thickBot="1" x14ac:dyDescent="0.3">
      <c r="B38" s="5">
        <v>4</v>
      </c>
      <c r="C38" s="100" t="str">
        <f ca="1">IF(ISBLANK(INDIRECT(ADDRESS(B38*2+2,3))),"",INDIRECT(ADDRESS(B38*2+2,3)))</f>
        <v>Семченкова М., Сапронова М.</v>
      </c>
      <c r="D38" s="100"/>
      <c r="E38" s="101"/>
      <c r="F38" s="26">
        <v>13</v>
      </c>
      <c r="G38" s="27">
        <v>0</v>
      </c>
      <c r="H38" s="102" t="str">
        <f ca="1">IF(ISBLANK(INDIRECT(ADDRESS(K38*2+2,3))),"",INDIRECT(ADDRESS(K38*2+2,3)))</f>
        <v>Пилипенко И., Николаенко Ю.</v>
      </c>
      <c r="I38" s="100"/>
      <c r="J38" s="100"/>
      <c r="K38" s="5">
        <v>7</v>
      </c>
      <c r="L38" s="35" t="s">
        <v>11</v>
      </c>
      <c r="M38" s="36">
        <v>1</v>
      </c>
    </row>
    <row r="39" spans="2:13" customFormat="1" ht="30" customHeight="1" thickBot="1" x14ac:dyDescent="0.3">
      <c r="B39" s="5">
        <v>5</v>
      </c>
      <c r="C39" s="100" t="str">
        <f ca="1">IF(ISBLANK(INDIRECT(ADDRESS(B39*2+2,3))),"",INDIRECT(ADDRESS(B39*2+2,3)))</f>
        <v>Маркина Е., Погорелова А.</v>
      </c>
      <c r="D39" s="100"/>
      <c r="E39" s="101"/>
      <c r="F39" s="26">
        <v>4</v>
      </c>
      <c r="G39" s="27">
        <v>6</v>
      </c>
      <c r="H39" s="102" t="str">
        <f ca="1">IF(ISBLANK(INDIRECT(ADDRESS(K39*2+2,3))),"",INDIRECT(ADDRESS(K39*2+2,3)))</f>
        <v>Пищанская Н., Костяная Е.</v>
      </c>
      <c r="I39" s="100"/>
      <c r="J39" s="100"/>
      <c r="K39" s="5">
        <v>6</v>
      </c>
      <c r="L39" s="35" t="s">
        <v>11</v>
      </c>
      <c r="M39" s="36">
        <v>2</v>
      </c>
    </row>
    <row r="40" spans="2:13" customFormat="1" ht="30" customHeight="1" x14ac:dyDescent="0.25">
      <c r="M40" s="38"/>
    </row>
    <row r="41" spans="2:13" customFormat="1" ht="30" customHeight="1" thickBot="1" x14ac:dyDescent="0.3">
      <c r="B41" s="99" t="s">
        <v>8</v>
      </c>
      <c r="C41" s="99"/>
      <c r="D41" s="99"/>
      <c r="E41" s="99"/>
      <c r="F41" s="99"/>
      <c r="G41" s="99"/>
      <c r="H41" s="99"/>
      <c r="I41" s="99"/>
      <c r="J41" s="99"/>
      <c r="K41" s="99"/>
      <c r="M41" s="38"/>
    </row>
    <row r="42" spans="2:13" customFormat="1" ht="30" customHeight="1" thickBot="1" x14ac:dyDescent="0.3">
      <c r="B42" s="5">
        <v>8</v>
      </c>
      <c r="C42" s="100" t="str">
        <f ca="1">IF(ISBLANK(INDIRECT(ADDRESS(B42*2+2,3))),"",INDIRECT(ADDRESS(B42*2+2,3)))</f>
        <v>Шустваль Н., Помазан Л.</v>
      </c>
      <c r="D42" s="100"/>
      <c r="E42" s="101"/>
      <c r="F42" s="26">
        <v>7</v>
      </c>
      <c r="G42" s="27">
        <v>9</v>
      </c>
      <c r="H42" s="102" t="str">
        <f ca="1">IF(ISBLANK(INDIRECT(ADDRESS(K42*2+2,3))),"",INDIRECT(ADDRESS(K42*2+2,3)))</f>
        <v>Пищанская Н., Костяная Е.</v>
      </c>
      <c r="I42" s="100"/>
      <c r="J42" s="100"/>
      <c r="K42" s="5">
        <v>6</v>
      </c>
      <c r="L42" s="35" t="s">
        <v>11</v>
      </c>
      <c r="M42" s="36">
        <v>2</v>
      </c>
    </row>
    <row r="43" spans="2:13" customFormat="1" ht="30" customHeight="1" thickBot="1" x14ac:dyDescent="0.3">
      <c r="B43" s="5">
        <v>7</v>
      </c>
      <c r="C43" s="100" t="str">
        <f ca="1">IF(ISBLANK(INDIRECT(ADDRESS(B43*2+2,3))),"",INDIRECT(ADDRESS(B43*2+2,3)))</f>
        <v>Пилипенко И., Николаенко Ю.</v>
      </c>
      <c r="D43" s="100"/>
      <c r="E43" s="101"/>
      <c r="F43" s="26">
        <v>9</v>
      </c>
      <c r="G43" s="27">
        <v>10</v>
      </c>
      <c r="H43" s="102" t="str">
        <f ca="1">IF(ISBLANK(INDIRECT(ADDRESS(K43*2+2,3))),"",INDIRECT(ADDRESS(K43*2+2,3)))</f>
        <v>Маркина Е., Погорелова А.</v>
      </c>
      <c r="I43" s="100"/>
      <c r="J43" s="100"/>
      <c r="K43" s="5">
        <v>5</v>
      </c>
      <c r="L43" s="35" t="s">
        <v>11</v>
      </c>
      <c r="M43" s="36">
        <v>3</v>
      </c>
    </row>
    <row r="44" spans="2:13" customFormat="1" ht="30" customHeight="1" thickBot="1" x14ac:dyDescent="0.3">
      <c r="B44" s="5">
        <v>1</v>
      </c>
      <c r="C44" s="100" t="str">
        <f ca="1">IF(ISBLANK(INDIRECT(ADDRESS(B44*2+2,3))),"",INDIRECT(ADDRESS(B44*2+2,3)))</f>
        <v>Дегтярёва М., Дегтярёва Л.</v>
      </c>
      <c r="D44" s="100"/>
      <c r="E44" s="101"/>
      <c r="F44" s="26">
        <v>13</v>
      </c>
      <c r="G44" s="27">
        <v>7</v>
      </c>
      <c r="H44" s="102" t="str">
        <f ca="1">IF(ISBLANK(INDIRECT(ADDRESS(K44*2+2,3))),"",INDIRECT(ADDRESS(K44*2+2,3)))</f>
        <v>Семченкова М., Сапронова М.</v>
      </c>
      <c r="I44" s="100"/>
      <c r="J44" s="100"/>
      <c r="K44" s="5">
        <v>4</v>
      </c>
      <c r="L44" s="35" t="s">
        <v>11</v>
      </c>
      <c r="M44" s="36">
        <v>4</v>
      </c>
    </row>
    <row r="45" spans="2:13" customFormat="1" ht="30" customHeight="1" thickBot="1" x14ac:dyDescent="0.3">
      <c r="B45" s="5">
        <v>2</v>
      </c>
      <c r="C45" s="100" t="str">
        <f ca="1">IF(ISBLANK(INDIRECT(ADDRESS(B45*2+2,3))),"",INDIRECT(ADDRESS(B45*2+2,3)))</f>
        <v>Мыльцева О., Мыльцева О. (мл.)</v>
      </c>
      <c r="D45" s="100"/>
      <c r="E45" s="101"/>
      <c r="F45" s="26">
        <v>6</v>
      </c>
      <c r="G45" s="27">
        <v>5</v>
      </c>
      <c r="H45" s="102" t="str">
        <f ca="1">IF(ISBLANK(INDIRECT(ADDRESS(K45*2+2,3))),"",INDIRECT(ADDRESS(K45*2+2,3)))</f>
        <v>Фёдорова А., Корсакова О.</v>
      </c>
      <c r="I45" s="100"/>
      <c r="J45" s="100"/>
      <c r="K45" s="5">
        <v>3</v>
      </c>
      <c r="L45" s="35" t="s">
        <v>11</v>
      </c>
      <c r="M45" s="36">
        <v>1</v>
      </c>
    </row>
    <row r="46" spans="2:13" customFormat="1" ht="30" customHeight="1" x14ac:dyDescent="0.25">
      <c r="M46" s="38"/>
    </row>
    <row r="47" spans="2:13" customFormat="1" ht="30" customHeight="1" thickBot="1" x14ac:dyDescent="0.3">
      <c r="B47" s="99" t="s">
        <v>9</v>
      </c>
      <c r="C47" s="99"/>
      <c r="D47" s="99"/>
      <c r="E47" s="99"/>
      <c r="F47" s="99"/>
      <c r="G47" s="99"/>
      <c r="H47" s="99"/>
      <c r="I47" s="99"/>
      <c r="J47" s="99"/>
      <c r="K47" s="99"/>
      <c r="M47" s="38"/>
    </row>
    <row r="48" spans="2:13" customFormat="1" ht="30" customHeight="1" thickBot="1" x14ac:dyDescent="0.3">
      <c r="B48" s="5">
        <v>3</v>
      </c>
      <c r="C48" s="100" t="str">
        <f ca="1">IF(ISBLANK(INDIRECT(ADDRESS(B48*2+2,3))),"",INDIRECT(ADDRESS(B48*2+2,3)))</f>
        <v>Фёдорова А., Корсакова О.</v>
      </c>
      <c r="D48" s="100"/>
      <c r="E48" s="101"/>
      <c r="F48" s="26">
        <v>9</v>
      </c>
      <c r="G48" s="27">
        <v>7</v>
      </c>
      <c r="H48" s="102" t="str">
        <f ca="1">IF(ISBLANK(INDIRECT(ADDRESS(K48*2+2,3))),"",INDIRECT(ADDRESS(K48*2+2,3)))</f>
        <v>Шустваль Н., Помазан Л.</v>
      </c>
      <c r="I48" s="100"/>
      <c r="J48" s="100"/>
      <c r="K48" s="5">
        <v>8</v>
      </c>
      <c r="L48" s="35" t="s">
        <v>11</v>
      </c>
      <c r="M48" s="36">
        <v>4</v>
      </c>
    </row>
    <row r="49" spans="2:13" customFormat="1" ht="30" customHeight="1" thickBot="1" x14ac:dyDescent="0.3">
      <c r="B49" s="5">
        <v>4</v>
      </c>
      <c r="C49" s="100" t="str">
        <f ca="1">IF(ISBLANK(INDIRECT(ADDRESS(B49*2+2,3))),"",INDIRECT(ADDRESS(B49*2+2,3)))</f>
        <v>Семченкова М., Сапронова М.</v>
      </c>
      <c r="D49" s="100"/>
      <c r="E49" s="101"/>
      <c r="F49" s="26">
        <v>8</v>
      </c>
      <c r="G49" s="27">
        <v>12</v>
      </c>
      <c r="H49" s="102" t="str">
        <f ca="1">IF(ISBLANK(INDIRECT(ADDRESS(K49*2+2,3))),"",INDIRECT(ADDRESS(K49*2+2,3)))</f>
        <v>Мыльцева О., Мыльцева О. (мл.)</v>
      </c>
      <c r="I49" s="100"/>
      <c r="J49" s="100"/>
      <c r="K49" s="5">
        <v>2</v>
      </c>
      <c r="L49" s="35" t="s">
        <v>11</v>
      </c>
      <c r="M49" s="36">
        <v>2</v>
      </c>
    </row>
    <row r="50" spans="2:13" customFormat="1" ht="30" customHeight="1" thickBot="1" x14ac:dyDescent="0.3">
      <c r="B50" s="5">
        <v>5</v>
      </c>
      <c r="C50" s="100" t="str">
        <f ca="1">IF(ISBLANK(INDIRECT(ADDRESS(B50*2+2,3))),"",INDIRECT(ADDRESS(B50*2+2,3)))</f>
        <v>Маркина Е., Погорелова А.</v>
      </c>
      <c r="D50" s="100"/>
      <c r="E50" s="101"/>
      <c r="F50" s="26">
        <v>3</v>
      </c>
      <c r="G50" s="27">
        <v>13</v>
      </c>
      <c r="H50" s="102" t="str">
        <f ca="1">IF(ISBLANK(INDIRECT(ADDRESS(K50*2+2,3))),"",INDIRECT(ADDRESS(K50*2+2,3)))</f>
        <v>Дегтярёва М., Дегтярёва Л.</v>
      </c>
      <c r="I50" s="100"/>
      <c r="J50" s="100"/>
      <c r="K50" s="5">
        <v>1</v>
      </c>
      <c r="L50" s="35" t="s">
        <v>11</v>
      </c>
      <c r="M50" s="36">
        <v>1</v>
      </c>
    </row>
    <row r="51" spans="2:13" customFormat="1" ht="30" customHeight="1" thickBot="1" x14ac:dyDescent="0.3">
      <c r="B51" s="5">
        <v>6</v>
      </c>
      <c r="C51" s="100" t="str">
        <f ca="1">IF(ISBLANK(INDIRECT(ADDRESS(B51*2+2,3))),"",INDIRECT(ADDRESS(B51*2+2,3)))</f>
        <v>Пищанская Н., Костяная Е.</v>
      </c>
      <c r="D51" s="100"/>
      <c r="E51" s="101"/>
      <c r="F51" s="26">
        <v>13</v>
      </c>
      <c r="G51" s="27">
        <v>4</v>
      </c>
      <c r="H51" s="102" t="str">
        <f ca="1">IF(ISBLANK(INDIRECT(ADDRESS(K51*2+2,3))),"",INDIRECT(ADDRESS(K51*2+2,3)))</f>
        <v>Пилипенко И., Николаенко Ю.</v>
      </c>
      <c r="I51" s="100"/>
      <c r="J51" s="100"/>
      <c r="K51" s="5">
        <v>7</v>
      </c>
      <c r="L51" s="35" t="s">
        <v>11</v>
      </c>
      <c r="M51" s="36">
        <v>3</v>
      </c>
    </row>
    <row r="52" spans="2:13" customFormat="1" ht="30" customHeight="1" x14ac:dyDescent="0.25">
      <c r="M52" s="38"/>
    </row>
    <row r="53" spans="2:13" customFormat="1" ht="30" customHeight="1" thickBot="1" x14ac:dyDescent="0.3">
      <c r="B53" s="99" t="s">
        <v>12</v>
      </c>
      <c r="C53" s="99"/>
      <c r="D53" s="99"/>
      <c r="E53" s="99"/>
      <c r="F53" s="99"/>
      <c r="G53" s="99"/>
      <c r="H53" s="99"/>
      <c r="I53" s="99"/>
      <c r="J53" s="99"/>
      <c r="K53" s="99"/>
      <c r="M53" s="38"/>
    </row>
    <row r="54" spans="2:13" customFormat="1" ht="30" customHeight="1" thickBot="1" x14ac:dyDescent="0.3">
      <c r="B54" s="5">
        <v>8</v>
      </c>
      <c r="C54" s="100" t="str">
        <f ca="1">IF(ISBLANK(INDIRECT(ADDRESS(B54*2+2,3))),"",INDIRECT(ADDRESS(B54*2+2,3)))</f>
        <v>Шустваль Н., Помазан Л.</v>
      </c>
      <c r="D54" s="100"/>
      <c r="E54" s="101"/>
      <c r="F54" s="26">
        <v>11</v>
      </c>
      <c r="G54" s="27">
        <v>13</v>
      </c>
      <c r="H54" s="102" t="str">
        <f ca="1">IF(ISBLANK(INDIRECT(ADDRESS(K54*2+2,3))),"",INDIRECT(ADDRESS(K54*2+2,3)))</f>
        <v>Пилипенко И., Николаенко Ю.</v>
      </c>
      <c r="I54" s="100"/>
      <c r="J54" s="100"/>
      <c r="K54" s="5">
        <v>7</v>
      </c>
      <c r="L54" s="35" t="s">
        <v>11</v>
      </c>
      <c r="M54" s="36">
        <v>1</v>
      </c>
    </row>
    <row r="55" spans="2:13" customFormat="1" ht="30" customHeight="1" thickBot="1" x14ac:dyDescent="0.3">
      <c r="B55" s="5">
        <v>1</v>
      </c>
      <c r="C55" s="100" t="str">
        <f ca="1">IF(ISBLANK(INDIRECT(ADDRESS(B55*2+2,3))),"",INDIRECT(ADDRESS(B55*2+2,3)))</f>
        <v>Дегтярёва М., Дегтярёва Л.</v>
      </c>
      <c r="D55" s="100"/>
      <c r="E55" s="101"/>
      <c r="F55" s="26">
        <v>4</v>
      </c>
      <c r="G55" s="27">
        <v>5</v>
      </c>
      <c r="H55" s="102" t="str">
        <f ca="1">IF(ISBLANK(INDIRECT(ADDRESS(K55*2+2,3))),"",INDIRECT(ADDRESS(K55*2+2,3)))</f>
        <v>Пищанская Н., Костяная Е.</v>
      </c>
      <c r="I55" s="100"/>
      <c r="J55" s="100"/>
      <c r="K55" s="5">
        <v>6</v>
      </c>
      <c r="L55" s="35" t="s">
        <v>11</v>
      </c>
      <c r="M55" s="36">
        <v>4</v>
      </c>
    </row>
    <row r="56" spans="2:13" customFormat="1" ht="30" customHeight="1" thickBot="1" x14ac:dyDescent="0.3">
      <c r="B56" s="5">
        <v>2</v>
      </c>
      <c r="C56" s="100" t="str">
        <f ca="1">IF(ISBLANK(INDIRECT(ADDRESS(B56*2+2,3))),"",INDIRECT(ADDRESS(B56*2+2,3)))</f>
        <v>Мыльцева О., Мыльцева О. (мл.)</v>
      </c>
      <c r="D56" s="100"/>
      <c r="E56" s="101"/>
      <c r="F56" s="26">
        <v>5</v>
      </c>
      <c r="G56" s="27">
        <v>3</v>
      </c>
      <c r="H56" s="102" t="str">
        <f ca="1">IF(ISBLANK(INDIRECT(ADDRESS(K56*2+2,3))),"",INDIRECT(ADDRESS(K56*2+2,3)))</f>
        <v>Маркина Е., Погорелова А.</v>
      </c>
      <c r="I56" s="100"/>
      <c r="J56" s="100"/>
      <c r="K56" s="5">
        <v>5</v>
      </c>
      <c r="L56" s="35" t="s">
        <v>11</v>
      </c>
      <c r="M56" s="36">
        <v>3</v>
      </c>
    </row>
    <row r="57" spans="2:13" customFormat="1" ht="30" customHeight="1" thickBot="1" x14ac:dyDescent="0.3">
      <c r="B57" s="5">
        <v>3</v>
      </c>
      <c r="C57" s="100" t="str">
        <f ca="1">IF(ISBLANK(INDIRECT(ADDRESS(B57*2+2,3))),"",INDIRECT(ADDRESS(B57*2+2,3)))</f>
        <v>Фёдорова А., Корсакова О.</v>
      </c>
      <c r="D57" s="100"/>
      <c r="E57" s="101"/>
      <c r="F57" s="26">
        <v>9</v>
      </c>
      <c r="G57" s="27">
        <v>7</v>
      </c>
      <c r="H57" s="102" t="str">
        <f ca="1">IF(ISBLANK(INDIRECT(ADDRESS(K57*2+2,3))),"",INDIRECT(ADDRESS(K57*2+2,3)))</f>
        <v>Семченкова М., Сапронова М.</v>
      </c>
      <c r="I57" s="100"/>
      <c r="J57" s="100"/>
      <c r="K57" s="5">
        <v>4</v>
      </c>
      <c r="L57" s="35" t="s">
        <v>11</v>
      </c>
      <c r="M57" s="36">
        <v>2</v>
      </c>
    </row>
    <row r="58" spans="2:13" customFormat="1" ht="30" customHeight="1" x14ac:dyDescent="0.25">
      <c r="M58" s="38"/>
    </row>
    <row r="59" spans="2:13" customFormat="1" ht="30" customHeight="1" thickBot="1" x14ac:dyDescent="0.3">
      <c r="B59" s="99" t="s">
        <v>13</v>
      </c>
      <c r="C59" s="99"/>
      <c r="D59" s="99"/>
      <c r="E59" s="99"/>
      <c r="F59" s="99"/>
      <c r="G59" s="99"/>
      <c r="H59" s="99"/>
      <c r="I59" s="99"/>
      <c r="J59" s="99"/>
      <c r="K59" s="99"/>
      <c r="M59" s="38"/>
    </row>
    <row r="60" spans="2:13" customFormat="1" ht="30" customHeight="1" thickBot="1" x14ac:dyDescent="0.3">
      <c r="B60" s="5">
        <v>4</v>
      </c>
      <c r="C60" s="100" t="str">
        <f ca="1">IF(ISBLANK(INDIRECT(ADDRESS(B60*2+2,3))),"",INDIRECT(ADDRESS(B60*2+2,3)))</f>
        <v>Семченкова М., Сапронова М.</v>
      </c>
      <c r="D60" s="100"/>
      <c r="E60" s="101"/>
      <c r="F60" s="26">
        <v>8</v>
      </c>
      <c r="G60" s="27">
        <v>6</v>
      </c>
      <c r="H60" s="102" t="str">
        <f ca="1">IF(ISBLANK(INDIRECT(ADDRESS(K60*2+2,3))),"",INDIRECT(ADDRESS(K60*2+2,3)))</f>
        <v>Шустваль Н., Помазан Л.</v>
      </c>
      <c r="I60" s="100"/>
      <c r="J60" s="100"/>
      <c r="K60" s="5">
        <v>8</v>
      </c>
      <c r="L60" s="35" t="s">
        <v>11</v>
      </c>
      <c r="M60" s="36">
        <v>3</v>
      </c>
    </row>
    <row r="61" spans="2:13" customFormat="1" ht="30" customHeight="1" thickBot="1" x14ac:dyDescent="0.3">
      <c r="B61" s="5">
        <v>5</v>
      </c>
      <c r="C61" s="100" t="str">
        <f ca="1">IF(ISBLANK(INDIRECT(ADDRESS(B61*2+2,3))),"",INDIRECT(ADDRESS(B61*2+2,3)))</f>
        <v>Маркина Е., Погорелова А.</v>
      </c>
      <c r="D61" s="100"/>
      <c r="E61" s="101"/>
      <c r="F61" s="26">
        <v>1</v>
      </c>
      <c r="G61" s="27">
        <v>11</v>
      </c>
      <c r="H61" s="102" t="str">
        <f ca="1">IF(ISBLANK(INDIRECT(ADDRESS(K61*2+2,3))),"",INDIRECT(ADDRESS(K61*2+2,3)))</f>
        <v>Фёдорова А., Корсакова О.</v>
      </c>
      <c r="I61" s="100"/>
      <c r="J61" s="100"/>
      <c r="K61" s="5">
        <v>3</v>
      </c>
      <c r="L61" s="35" t="s">
        <v>11</v>
      </c>
      <c r="M61" s="36">
        <v>1</v>
      </c>
    </row>
    <row r="62" spans="2:13" customFormat="1" ht="30" customHeight="1" thickBot="1" x14ac:dyDescent="0.3">
      <c r="B62" s="5">
        <v>6</v>
      </c>
      <c r="C62" s="100" t="str">
        <f ca="1">IF(ISBLANK(INDIRECT(ADDRESS(B62*2+2,3))),"",INDIRECT(ADDRESS(B62*2+2,3)))</f>
        <v>Пищанская Н., Костяная Е.</v>
      </c>
      <c r="D62" s="100"/>
      <c r="E62" s="101"/>
      <c r="F62" s="26">
        <v>9</v>
      </c>
      <c r="G62" s="27">
        <v>6</v>
      </c>
      <c r="H62" s="102" t="str">
        <f ca="1">IF(ISBLANK(INDIRECT(ADDRESS(K62*2+2,3))),"",INDIRECT(ADDRESS(K62*2+2,3)))</f>
        <v>Мыльцева О., Мыльцева О. (мл.)</v>
      </c>
      <c r="I62" s="100"/>
      <c r="J62" s="100"/>
      <c r="K62" s="5">
        <v>2</v>
      </c>
      <c r="L62" s="35" t="s">
        <v>11</v>
      </c>
      <c r="M62" s="36">
        <v>4</v>
      </c>
    </row>
    <row r="63" spans="2:13" customFormat="1" ht="30" customHeight="1" thickBot="1" x14ac:dyDescent="0.3">
      <c r="B63" s="5">
        <v>7</v>
      </c>
      <c r="C63" s="100" t="str">
        <f ca="1">IF(ISBLANK(INDIRECT(ADDRESS(B63*2+2,3))),"",INDIRECT(ADDRESS(B63*2+2,3)))</f>
        <v>Пилипенко И., Николаенко Ю.</v>
      </c>
      <c r="D63" s="100"/>
      <c r="E63" s="101"/>
      <c r="F63" s="26">
        <v>1</v>
      </c>
      <c r="G63" s="27">
        <v>13</v>
      </c>
      <c r="H63" s="102" t="str">
        <f ca="1">IF(ISBLANK(INDIRECT(ADDRESS(K63*2+2,3))),"",INDIRECT(ADDRESS(K63*2+2,3)))</f>
        <v>Дегтярёва М., Дегтярёва Л.</v>
      </c>
      <c r="I63" s="100"/>
      <c r="J63" s="100"/>
      <c r="K63" s="5">
        <v>1</v>
      </c>
      <c r="L63" s="35" t="s">
        <v>11</v>
      </c>
      <c r="M63" s="36">
        <v>2</v>
      </c>
    </row>
    <row r="66" spans="2:5" ht="21" x14ac:dyDescent="0.35">
      <c r="B66" s="132" t="s">
        <v>58</v>
      </c>
      <c r="C66" s="132"/>
      <c r="D66" s="132"/>
      <c r="E66" s="132"/>
    </row>
    <row r="67" spans="2:5" ht="21" x14ac:dyDescent="0.35">
      <c r="B67" s="132"/>
      <c r="C67" s="132"/>
      <c r="D67" s="132"/>
      <c r="E67" s="132"/>
    </row>
    <row r="68" spans="2:5" ht="21" x14ac:dyDescent="0.35">
      <c r="B68" s="132"/>
      <c r="C68" s="132"/>
      <c r="D68" s="132"/>
      <c r="E68" s="132"/>
    </row>
    <row r="69" spans="2:5" ht="21" x14ac:dyDescent="0.35">
      <c r="B69" s="132" t="s">
        <v>59</v>
      </c>
      <c r="C69" s="132"/>
      <c r="D69" s="132"/>
      <c r="E69" s="132"/>
    </row>
  </sheetData>
  <mergeCells count="97">
    <mergeCell ref="C61:E61"/>
    <mergeCell ref="H61:J61"/>
    <mergeCell ref="C62:E62"/>
    <mergeCell ref="H62:J62"/>
    <mergeCell ref="C63:E63"/>
    <mergeCell ref="H63:J63"/>
    <mergeCell ref="C56:E56"/>
    <mergeCell ref="H56:J56"/>
    <mergeCell ref="C57:E57"/>
    <mergeCell ref="H57:J57"/>
    <mergeCell ref="B59:K59"/>
    <mergeCell ref="C60:E60"/>
    <mergeCell ref="H60:J60"/>
    <mergeCell ref="C51:E51"/>
    <mergeCell ref="H51:J51"/>
    <mergeCell ref="B53:K53"/>
    <mergeCell ref="C54:E54"/>
    <mergeCell ref="H54:J54"/>
    <mergeCell ref="C55:E55"/>
    <mergeCell ref="H55:J55"/>
    <mergeCell ref="B47:K47"/>
    <mergeCell ref="C48:E48"/>
    <mergeCell ref="H48:J48"/>
    <mergeCell ref="C49:E49"/>
    <mergeCell ref="H49:J49"/>
    <mergeCell ref="C50:E50"/>
    <mergeCell ref="H50:J50"/>
    <mergeCell ref="C43:E43"/>
    <mergeCell ref="H43:J43"/>
    <mergeCell ref="C44:E44"/>
    <mergeCell ref="H44:J44"/>
    <mergeCell ref="C45:E45"/>
    <mergeCell ref="H45:J45"/>
    <mergeCell ref="C38:E38"/>
    <mergeCell ref="H38:J38"/>
    <mergeCell ref="C39:E39"/>
    <mergeCell ref="H39:J39"/>
    <mergeCell ref="B41:K41"/>
    <mergeCell ref="C42:E42"/>
    <mergeCell ref="H42:J42"/>
    <mergeCell ref="C33:E33"/>
    <mergeCell ref="H33:J33"/>
    <mergeCell ref="B35:K35"/>
    <mergeCell ref="C36:E36"/>
    <mergeCell ref="H36:J36"/>
    <mergeCell ref="C37:E37"/>
    <mergeCell ref="H37:J37"/>
    <mergeCell ref="B29:K29"/>
    <mergeCell ref="C30:E30"/>
    <mergeCell ref="H30:J30"/>
    <mergeCell ref="C31:E31"/>
    <mergeCell ref="H31:J31"/>
    <mergeCell ref="C32:E32"/>
    <mergeCell ref="H32:J32"/>
    <mergeCell ref="C25:E25"/>
    <mergeCell ref="H25:J25"/>
    <mergeCell ref="C26:E26"/>
    <mergeCell ref="H26:J26"/>
    <mergeCell ref="C27:E27"/>
    <mergeCell ref="H27:J27"/>
    <mergeCell ref="B18:B19"/>
    <mergeCell ref="C18:E19"/>
    <mergeCell ref="N18:N19"/>
    <mergeCell ref="P18:P19"/>
    <mergeCell ref="B23:K23"/>
    <mergeCell ref="C24:E24"/>
    <mergeCell ref="H24:J24"/>
    <mergeCell ref="B14:B15"/>
    <mergeCell ref="C14:E15"/>
    <mergeCell ref="N14:N15"/>
    <mergeCell ref="P14:P15"/>
    <mergeCell ref="B16:B17"/>
    <mergeCell ref="C16:E17"/>
    <mergeCell ref="N16:N17"/>
    <mergeCell ref="P16:P17"/>
    <mergeCell ref="B10:B11"/>
    <mergeCell ref="C10:E11"/>
    <mergeCell ref="N10:N11"/>
    <mergeCell ref="P10:P11"/>
    <mergeCell ref="B12:B13"/>
    <mergeCell ref="C12:E13"/>
    <mergeCell ref="N12:N13"/>
    <mergeCell ref="P12:P13"/>
    <mergeCell ref="B6:B7"/>
    <mergeCell ref="C6:E7"/>
    <mergeCell ref="N6:N7"/>
    <mergeCell ref="P6:P7"/>
    <mergeCell ref="B8:B9"/>
    <mergeCell ref="C8:E9"/>
    <mergeCell ref="N8:N9"/>
    <mergeCell ref="P8:P9"/>
    <mergeCell ref="C3:E3"/>
    <mergeCell ref="B4:B5"/>
    <mergeCell ref="C4:E5"/>
    <mergeCell ref="N4:N5"/>
    <mergeCell ref="P4:P5"/>
    <mergeCell ref="B1:P1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45" orientation="portrait" horizontalDpi="4294967293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9"/>
  <sheetViews>
    <sheetView topLeftCell="A13" zoomScaleNormal="100" workbookViewId="0">
      <selection activeCell="A23" sqref="A23:D26"/>
    </sheetView>
  </sheetViews>
  <sheetFormatPr defaultRowHeight="15" x14ac:dyDescent="0.25"/>
  <cols>
    <col min="2" max="2" width="22.7109375" customWidth="1"/>
    <col min="3" max="3" width="22.42578125" customWidth="1"/>
    <col min="4" max="4" width="36.7109375" customWidth="1"/>
  </cols>
  <sheetData>
    <row r="1" spans="1:11" ht="54" customHeight="1" x14ac:dyDescent="0.35">
      <c r="A1" s="134" t="s">
        <v>60</v>
      </c>
      <c r="B1" s="134"/>
      <c r="C1" s="134"/>
      <c r="D1" s="134"/>
      <c r="E1" s="135"/>
      <c r="F1" s="135"/>
      <c r="G1" s="135"/>
      <c r="H1" s="135"/>
      <c r="I1" s="135"/>
      <c r="J1" s="135"/>
      <c r="K1" s="135"/>
    </row>
    <row r="2" spans="1:11" ht="88.5" customHeight="1" x14ac:dyDescent="0.25">
      <c r="A2" s="136" t="s">
        <v>92</v>
      </c>
      <c r="B2" s="136"/>
      <c r="C2" s="136"/>
      <c r="D2" s="136"/>
      <c r="E2" s="137"/>
      <c r="F2" s="137"/>
      <c r="G2" s="138"/>
      <c r="H2" s="138"/>
      <c r="I2" s="138"/>
      <c r="J2" s="138"/>
    </row>
    <row r="3" spans="1:11" ht="15.75" thickBot="1" x14ac:dyDescent="0.3"/>
    <row r="4" spans="1:11" x14ac:dyDescent="0.25">
      <c r="A4" s="139" t="s">
        <v>61</v>
      </c>
      <c r="B4" s="140" t="s">
        <v>62</v>
      </c>
      <c r="C4" s="141" t="s">
        <v>63</v>
      </c>
      <c r="D4" s="142" t="s">
        <v>64</v>
      </c>
      <c r="G4" s="153"/>
      <c r="H4" s="153"/>
      <c r="I4" s="153"/>
      <c r="J4" s="153"/>
      <c r="K4" s="153"/>
    </row>
    <row r="5" spans="1:11" x14ac:dyDescent="0.25">
      <c r="A5" s="143">
        <v>1</v>
      </c>
      <c r="B5" s="144" t="s">
        <v>93</v>
      </c>
      <c r="C5" s="145" t="s">
        <v>65</v>
      </c>
      <c r="D5" s="146">
        <v>20</v>
      </c>
      <c r="G5" s="153"/>
      <c r="H5" s="153"/>
      <c r="I5" s="153"/>
      <c r="J5" s="153"/>
      <c r="K5" s="153"/>
    </row>
    <row r="6" spans="1:11" x14ac:dyDescent="0.25">
      <c r="A6" s="143">
        <v>1</v>
      </c>
      <c r="B6" s="144" t="s">
        <v>40</v>
      </c>
      <c r="C6" s="145" t="s">
        <v>65</v>
      </c>
      <c r="D6" s="146">
        <v>20</v>
      </c>
      <c r="G6" s="153"/>
      <c r="H6" s="153"/>
      <c r="I6" s="153"/>
      <c r="J6" s="153"/>
      <c r="K6" s="153"/>
    </row>
    <row r="7" spans="1:11" x14ac:dyDescent="0.25">
      <c r="A7" s="143">
        <v>2</v>
      </c>
      <c r="B7" s="144" t="s">
        <v>48</v>
      </c>
      <c r="C7" s="145" t="s">
        <v>65</v>
      </c>
      <c r="D7" s="146">
        <v>17</v>
      </c>
      <c r="G7" s="153"/>
      <c r="H7" s="153"/>
      <c r="I7" s="153"/>
      <c r="J7" s="153"/>
      <c r="K7" s="153"/>
    </row>
    <row r="8" spans="1:11" x14ac:dyDescent="0.25">
      <c r="A8" s="143">
        <v>2</v>
      </c>
      <c r="B8" s="144" t="s">
        <v>43</v>
      </c>
      <c r="C8" s="145" t="s">
        <v>65</v>
      </c>
      <c r="D8" s="146">
        <v>17</v>
      </c>
      <c r="G8" s="153"/>
      <c r="H8" s="153"/>
      <c r="I8" s="153"/>
      <c r="J8" s="153"/>
      <c r="K8" s="153"/>
    </row>
    <row r="9" spans="1:11" x14ac:dyDescent="0.25">
      <c r="A9" s="143">
        <v>3</v>
      </c>
      <c r="B9" s="144" t="s">
        <v>38</v>
      </c>
      <c r="C9" s="145" t="s">
        <v>65</v>
      </c>
      <c r="D9" s="146">
        <v>15</v>
      </c>
      <c r="G9" s="153"/>
      <c r="H9" s="153"/>
      <c r="I9" s="153"/>
      <c r="J9" s="153"/>
      <c r="K9" s="153"/>
    </row>
    <row r="10" spans="1:11" x14ac:dyDescent="0.25">
      <c r="A10" s="143">
        <v>3</v>
      </c>
      <c r="B10" s="144" t="s">
        <v>42</v>
      </c>
      <c r="C10" s="145" t="s">
        <v>65</v>
      </c>
      <c r="D10" s="146">
        <v>15</v>
      </c>
      <c r="G10" s="153"/>
      <c r="H10" s="153"/>
      <c r="I10" s="153"/>
      <c r="J10" s="153"/>
      <c r="K10" s="153"/>
    </row>
    <row r="11" spans="1:11" x14ac:dyDescent="0.25">
      <c r="A11" s="143">
        <v>4</v>
      </c>
      <c r="B11" s="144" t="s">
        <v>94</v>
      </c>
      <c r="C11" s="145" t="s">
        <v>65</v>
      </c>
      <c r="D11" s="146">
        <v>14</v>
      </c>
      <c r="G11" s="153"/>
      <c r="H11" s="153"/>
      <c r="I11" s="153"/>
      <c r="J11" s="153"/>
      <c r="K11" s="153"/>
    </row>
    <row r="12" spans="1:11" x14ac:dyDescent="0.25">
      <c r="A12" s="143">
        <v>4</v>
      </c>
      <c r="B12" s="144" t="s">
        <v>95</v>
      </c>
      <c r="C12" s="145" t="s">
        <v>65</v>
      </c>
      <c r="D12" s="146">
        <v>14</v>
      </c>
      <c r="G12" s="153"/>
      <c r="H12" s="153"/>
      <c r="I12" s="153"/>
      <c r="J12" s="153"/>
      <c r="K12" s="153"/>
    </row>
    <row r="13" spans="1:11" x14ac:dyDescent="0.25">
      <c r="A13" s="143">
        <v>5</v>
      </c>
      <c r="B13" s="144" t="s">
        <v>39</v>
      </c>
      <c r="C13" s="145" t="s">
        <v>71</v>
      </c>
      <c r="D13" s="146">
        <v>13</v>
      </c>
      <c r="G13" s="153"/>
      <c r="H13" s="153"/>
      <c r="I13" s="153"/>
      <c r="J13" s="153"/>
      <c r="K13" s="153"/>
    </row>
    <row r="14" spans="1:11" x14ac:dyDescent="0.25">
      <c r="A14" s="143">
        <v>5</v>
      </c>
      <c r="B14" s="144" t="s">
        <v>46</v>
      </c>
      <c r="C14" s="145" t="s">
        <v>65</v>
      </c>
      <c r="D14" s="146">
        <v>13</v>
      </c>
      <c r="G14" s="153"/>
      <c r="H14" s="153"/>
      <c r="I14" s="153"/>
      <c r="J14" s="153"/>
      <c r="K14" s="153"/>
    </row>
    <row r="15" spans="1:11" x14ac:dyDescent="0.25">
      <c r="A15" s="143">
        <v>6</v>
      </c>
      <c r="B15" s="144" t="s">
        <v>49</v>
      </c>
      <c r="C15" s="162" t="s">
        <v>66</v>
      </c>
      <c r="D15" s="146">
        <v>12</v>
      </c>
      <c r="G15" s="153"/>
      <c r="H15" s="153"/>
      <c r="I15" s="153"/>
      <c r="J15" s="153"/>
      <c r="K15" s="153"/>
    </row>
    <row r="16" spans="1:11" x14ac:dyDescent="0.25">
      <c r="A16" s="155">
        <v>6</v>
      </c>
      <c r="B16" s="144" t="s">
        <v>47</v>
      </c>
      <c r="C16" s="162" t="s">
        <v>66</v>
      </c>
      <c r="D16" s="156">
        <v>12</v>
      </c>
      <c r="G16" s="153"/>
      <c r="H16" s="153"/>
      <c r="I16" s="153"/>
      <c r="J16" s="153"/>
      <c r="K16" s="153"/>
    </row>
    <row r="17" spans="1:11" x14ac:dyDescent="0.25">
      <c r="A17" s="171">
        <v>7</v>
      </c>
      <c r="B17" s="159" t="s">
        <v>52</v>
      </c>
      <c r="C17" s="145" t="s">
        <v>65</v>
      </c>
      <c r="D17" s="146">
        <v>11</v>
      </c>
      <c r="G17" s="153"/>
      <c r="H17" s="153"/>
      <c r="I17" s="153"/>
      <c r="J17" s="153"/>
      <c r="K17" s="153"/>
    </row>
    <row r="18" spans="1:11" x14ac:dyDescent="0.25">
      <c r="A18" s="171">
        <v>7</v>
      </c>
      <c r="B18" s="144" t="s">
        <v>41</v>
      </c>
      <c r="C18" s="145" t="s">
        <v>65</v>
      </c>
      <c r="D18" s="146">
        <v>11</v>
      </c>
    </row>
    <row r="19" spans="1:11" x14ac:dyDescent="0.25">
      <c r="A19" s="171">
        <v>8</v>
      </c>
      <c r="B19" s="144" t="s">
        <v>44</v>
      </c>
      <c r="C19" s="145" t="s">
        <v>66</v>
      </c>
      <c r="D19" s="146">
        <v>10</v>
      </c>
    </row>
    <row r="20" spans="1:11" ht="15.75" thickBot="1" x14ac:dyDescent="0.3">
      <c r="A20" s="172">
        <v>8</v>
      </c>
      <c r="B20" s="149" t="s">
        <v>51</v>
      </c>
      <c r="C20" s="173" t="s">
        <v>65</v>
      </c>
      <c r="D20" s="151">
        <v>10</v>
      </c>
    </row>
    <row r="21" spans="1:11" x14ac:dyDescent="0.25">
      <c r="A21" s="169"/>
      <c r="B21" s="153"/>
      <c r="C21" s="153"/>
      <c r="D21" s="170"/>
      <c r="E21" s="153"/>
    </row>
    <row r="22" spans="1:11" x14ac:dyDescent="0.25">
      <c r="A22" s="169"/>
      <c r="B22" s="153"/>
      <c r="C22" s="153"/>
      <c r="D22" s="170"/>
      <c r="E22" s="153"/>
    </row>
    <row r="23" spans="1:11" ht="21" x14ac:dyDescent="0.35">
      <c r="A23" s="132" t="s">
        <v>58</v>
      </c>
      <c r="B23" s="132"/>
      <c r="C23" s="132"/>
      <c r="D23" s="132"/>
      <c r="E23" s="132"/>
      <c r="F23" s="132"/>
      <c r="G23" s="133"/>
    </row>
    <row r="24" spans="1:11" ht="21" x14ac:dyDescent="0.35">
      <c r="A24" s="132"/>
      <c r="B24" s="132"/>
      <c r="C24" s="132"/>
      <c r="D24" s="132"/>
      <c r="E24" s="132"/>
      <c r="F24" s="132"/>
      <c r="G24" s="133"/>
    </row>
    <row r="25" spans="1:11" ht="21" x14ac:dyDescent="0.35">
      <c r="A25" s="132"/>
      <c r="B25" s="132"/>
      <c r="C25" s="132"/>
      <c r="D25" s="132"/>
      <c r="E25" s="132"/>
      <c r="F25" s="132"/>
      <c r="G25" s="133"/>
    </row>
    <row r="26" spans="1:11" ht="21" x14ac:dyDescent="0.35">
      <c r="A26" s="132" t="s">
        <v>59</v>
      </c>
      <c r="B26" s="132"/>
      <c r="C26" s="132"/>
      <c r="D26" s="132"/>
      <c r="E26" s="132"/>
      <c r="F26" s="132"/>
      <c r="G26" s="133"/>
    </row>
    <row r="27" spans="1:11" ht="15" customHeight="1" x14ac:dyDescent="0.35">
      <c r="A27" s="165"/>
      <c r="B27" s="165"/>
      <c r="C27" s="165"/>
      <c r="D27" s="165"/>
      <c r="E27" s="165"/>
      <c r="F27" s="132"/>
      <c r="G27" s="133"/>
    </row>
    <row r="28" spans="1:11" ht="15" customHeight="1" x14ac:dyDescent="0.35">
      <c r="A28" s="165"/>
      <c r="B28" s="165"/>
      <c r="C28" s="165"/>
      <c r="D28" s="165"/>
      <c r="E28" s="165"/>
      <c r="F28" s="132"/>
      <c r="G28" s="133"/>
    </row>
    <row r="29" spans="1:11" ht="21" x14ac:dyDescent="0.35">
      <c r="A29" s="165"/>
      <c r="B29" s="165"/>
      <c r="C29" s="165"/>
      <c r="D29" s="165"/>
      <c r="E29" s="132"/>
      <c r="F29" s="132"/>
      <c r="G29" s="133"/>
    </row>
  </sheetData>
  <mergeCells count="2">
    <mergeCell ref="A1:D1"/>
    <mergeCell ref="A2:D2"/>
  </mergeCells>
  <pageMargins left="0.75" right="0.49" top="0.7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9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9" t="e">
        <f>#REF!&amp;#REF!</f>
        <v>#REF!</v>
      </c>
      <c r="J24" s="9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9" t="e">
        <f>#REF!&amp;#REF!</f>
        <v>#REF!</v>
      </c>
      <c r="J25" s="9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9" t="e">
        <f>#REF!&amp;#REF!</f>
        <v>#REF!</v>
      </c>
      <c r="J26" s="9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9" t="e">
        <f>#REF!&amp;#REF!</f>
        <v>#REF!</v>
      </c>
      <c r="J27" s="9" t="e">
        <f>#REF!&amp;#REF!</f>
        <v>#REF!</v>
      </c>
    </row>
    <row r="28" spans="9:28" x14ac:dyDescent="0.25">
      <c r="I28" s="9" t="e">
        <f>#REF!&amp;#REF!</f>
        <v>#REF!</v>
      </c>
      <c r="J28" s="9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9" t="e">
        <f>#REF!&amp;#REF!</f>
        <v>#REF!</v>
      </c>
      <c r="J30" s="9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9" t="e">
        <f>#REF!&amp;#REF!</f>
        <v>#REF!</v>
      </c>
      <c r="J31" s="9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9" t="e">
        <f>#REF!&amp;#REF!</f>
        <v>#REF!</v>
      </c>
      <c r="J32" s="9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9" t="e">
        <f>#REF!&amp;#REF!</f>
        <v>#REF!</v>
      </c>
      <c r="J33" s="9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9" t="e">
        <f>#REF!&amp;#REF!</f>
        <v>#REF!</v>
      </c>
      <c r="J34" s="9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9" t="e">
        <f>#REF!&amp;#REF!</f>
        <v>#REF!</v>
      </c>
      <c r="J36" s="9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9" t="e">
        <f>#REF!&amp;#REF!</f>
        <v>#REF!</v>
      </c>
      <c r="J37" s="9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9" t="e">
        <f>#REF!&amp;#REF!</f>
        <v>#REF!</v>
      </c>
      <c r="J38" s="9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9" t="e">
        <f>#REF!&amp;#REF!</f>
        <v>#REF!</v>
      </c>
      <c r="J39" s="9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9" t="e">
        <f>#REF!&amp;#REF!</f>
        <v>#REF!</v>
      </c>
      <c r="J40" s="9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9" t="e">
        <f>#REF!&amp;#REF!</f>
        <v>#REF!</v>
      </c>
      <c r="J42" s="9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9" t="e">
        <f>#REF!&amp;#REF!</f>
        <v>#REF!</v>
      </c>
      <c r="J43" s="9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9" t="e">
        <f>#REF!&amp;#REF!</f>
        <v>#REF!</v>
      </c>
      <c r="J44" s="9" t="e">
        <f>#REF!&amp;#REF!</f>
        <v>#REF!</v>
      </c>
    </row>
    <row r="45" spans="9:19" x14ac:dyDescent="0.25">
      <c r="I45" s="9" t="e">
        <f>#REF!&amp;#REF!</f>
        <v>#REF!</v>
      </c>
      <c r="J45" s="9" t="e">
        <f>#REF!&amp;#REF!</f>
        <v>#REF!</v>
      </c>
    </row>
    <row r="46" spans="9:19" x14ac:dyDescent="0.25">
      <c r="I46" s="9" t="e">
        <f>#REF!&amp;#REF!</f>
        <v>#REF!</v>
      </c>
      <c r="J46" s="9" t="e">
        <f>#REF!&amp;#REF!</f>
        <v>#REF!</v>
      </c>
    </row>
    <row r="48" spans="9:19" x14ac:dyDescent="0.25">
      <c r="I48" s="9" t="e">
        <f>#REF!&amp;#REF!</f>
        <v>#REF!</v>
      </c>
      <c r="J48" s="9" t="e">
        <f>#REF!&amp;#REF!</f>
        <v>#REF!</v>
      </c>
    </row>
    <row r="49" spans="9:10" x14ac:dyDescent="0.25">
      <c r="I49" s="9" t="e">
        <f>#REF!&amp;#REF!</f>
        <v>#REF!</v>
      </c>
      <c r="J49" s="9" t="e">
        <f>#REF!&amp;#REF!</f>
        <v>#REF!</v>
      </c>
    </row>
    <row r="50" spans="9:10" x14ac:dyDescent="0.25">
      <c r="I50" s="9" t="e">
        <f>#REF!&amp;#REF!</f>
        <v>#REF!</v>
      </c>
      <c r="J50" s="9" t="e">
        <f>#REF!&amp;#REF!</f>
        <v>#REF!</v>
      </c>
    </row>
    <row r="51" spans="9:10" x14ac:dyDescent="0.25">
      <c r="I51" s="9" t="e">
        <f>#REF!&amp;#REF!</f>
        <v>#REF!</v>
      </c>
      <c r="J51" s="9" t="e">
        <f>#REF!&amp;#REF!</f>
        <v>#REF!</v>
      </c>
    </row>
    <row r="52" spans="9:10" x14ac:dyDescent="0.25">
      <c r="I52" s="9" t="e">
        <f>#REF!&amp;#REF!</f>
        <v>#REF!</v>
      </c>
      <c r="J52" s="9" t="e">
        <f>#REF!&amp;#REF!</f>
        <v>#REF!</v>
      </c>
    </row>
    <row r="54" spans="9:10" x14ac:dyDescent="0.25">
      <c r="I54" s="9" t="e">
        <f>#REF!&amp;#REF!</f>
        <v>#REF!</v>
      </c>
      <c r="J54" s="9" t="e">
        <f>#REF!&amp;#REF!</f>
        <v>#REF!</v>
      </c>
    </row>
    <row r="55" spans="9:10" x14ac:dyDescent="0.25">
      <c r="I55" s="9" t="e">
        <f>#REF!&amp;#REF!</f>
        <v>#REF!</v>
      </c>
      <c r="J55" s="9" t="e">
        <f>#REF!&amp;#REF!</f>
        <v>#REF!</v>
      </c>
    </row>
    <row r="56" spans="9:10" x14ac:dyDescent="0.25">
      <c r="I56" s="9" t="e">
        <f>#REF!&amp;#REF!</f>
        <v>#REF!</v>
      </c>
      <c r="J56" s="9" t="e">
        <f>#REF!&amp;#REF!</f>
        <v>#REF!</v>
      </c>
    </row>
    <row r="57" spans="9:10" x14ac:dyDescent="0.25">
      <c r="I57" s="9" t="e">
        <f>#REF!&amp;#REF!</f>
        <v>#REF!</v>
      </c>
      <c r="J57" s="9" t="e">
        <f>#REF!&amp;#REF!</f>
        <v>#REF!</v>
      </c>
    </row>
    <row r="58" spans="9:10" x14ac:dyDescent="0.25">
      <c r="I58" s="9" t="e">
        <f>#REF!&amp;#REF!</f>
        <v>#REF!</v>
      </c>
      <c r="J58" s="9" t="e">
        <f>#REF!&amp;#REF!</f>
        <v>#REF!</v>
      </c>
    </row>
    <row r="60" spans="9:10" x14ac:dyDescent="0.25">
      <c r="I60" s="9" t="e">
        <f>#REF!&amp;#REF!</f>
        <v>#REF!</v>
      </c>
      <c r="J60" s="9" t="e">
        <f>#REF!&amp;#REF!</f>
        <v>#REF!</v>
      </c>
    </row>
    <row r="61" spans="9:10" x14ac:dyDescent="0.25">
      <c r="I61" s="9" t="e">
        <f>#REF!&amp;#REF!</f>
        <v>#REF!</v>
      </c>
      <c r="J61" s="9" t="e">
        <f>#REF!&amp;#REF!</f>
        <v>#REF!</v>
      </c>
    </row>
    <row r="62" spans="9:10" x14ac:dyDescent="0.25">
      <c r="I62" s="9" t="e">
        <f>#REF!&amp;#REF!</f>
        <v>#REF!</v>
      </c>
      <c r="J62" s="9" t="e">
        <f>#REF!&amp;#REF!</f>
        <v>#REF!</v>
      </c>
    </row>
    <row r="63" spans="9:10" x14ac:dyDescent="0.25">
      <c r="I63" s="9" t="e">
        <f>#REF!&amp;#REF!</f>
        <v>#REF!</v>
      </c>
      <c r="J63" s="9" t="e">
        <f>#REF!&amp;#REF!</f>
        <v>#REF!</v>
      </c>
    </row>
    <row r="67" spans="12:12" x14ac:dyDescent="0.25">
      <c r="L67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A49" workbookViewId="0">
      <selection activeCell="N7" sqref="N7"/>
    </sheetView>
  </sheetViews>
  <sheetFormatPr defaultRowHeight="15" x14ac:dyDescent="0.25"/>
  <cols>
    <col min="1" max="1" width="4" style="64" customWidth="1"/>
    <col min="2" max="4" width="10.28515625" customWidth="1"/>
    <col min="5" max="5" width="11.7109375" customWidth="1"/>
    <col min="6" max="12" width="10.28515625" customWidth="1"/>
    <col min="13" max="13" width="10.28515625" style="37" customWidth="1"/>
    <col min="14" max="15" width="10.28515625" customWidth="1"/>
  </cols>
  <sheetData>
    <row r="1" spans="2:15" ht="59.25" customHeight="1" x14ac:dyDescent="0.25">
      <c r="B1" s="124" t="s">
        <v>15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15" ht="15.75" thickBot="1" x14ac:dyDescent="0.3">
      <c r="M2"/>
    </row>
    <row r="3" spans="2:15" ht="30" customHeight="1" thickBot="1" x14ac:dyDescent="0.3">
      <c r="B3" s="39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2">
        <v>7</v>
      </c>
      <c r="M3" s="3" t="s">
        <v>1</v>
      </c>
      <c r="N3" s="1" t="s">
        <v>3</v>
      </c>
      <c r="O3" s="4" t="s">
        <v>2</v>
      </c>
    </row>
    <row r="4" spans="2:15" ht="24" customHeight="1" x14ac:dyDescent="0.25">
      <c r="B4" s="80">
        <v>1</v>
      </c>
      <c r="C4" s="82" t="s">
        <v>31</v>
      </c>
      <c r="D4" s="83"/>
      <c r="E4" s="84"/>
      <c r="F4" s="10"/>
      <c r="G4" s="6" t="str">
        <f ca="1">INDIRECT(ADDRESS(29,6))&amp;":"&amp;INDIRECT(ADDRESS(29,7))</f>
        <v>13:4</v>
      </c>
      <c r="H4" s="6" t="str">
        <f ca="1">INDIRECT(ADDRESS(32,7))&amp;":"&amp;INDIRECT(ADDRESS(32,6))</f>
        <v>6:13</v>
      </c>
      <c r="I4" s="6" t="str">
        <f ca="1">INDIRECT(ADDRESS(38,6))&amp;":"&amp;INDIRECT(ADDRESS(38,7))</f>
        <v>1:13</v>
      </c>
      <c r="J4" s="6" t="str">
        <f ca="1">INDIRECT(ADDRESS(43,7))&amp;":"&amp;INDIRECT(ADDRESS(43,6))</f>
        <v>6:13</v>
      </c>
      <c r="K4" s="45" t="str">
        <f ca="1">INDIRECT(ADDRESS(47,6))&amp;":"&amp;INDIRECT(ADDRESS(47,7))</f>
        <v>13:10</v>
      </c>
      <c r="L4" s="21" t="str">
        <f ca="1">INDIRECT(ADDRESS(54,7))&amp;":"&amp;INDIRECT(ADDRESS(54,6))</f>
        <v>13:10</v>
      </c>
      <c r="M4" s="115">
        <f ca="1">IF(COUNT(F5:L5)=0,"",COUNTIF(F5:L5,"&gt;0")+0.5*COUNTIF(F5:L5,0))</f>
        <v>3</v>
      </c>
      <c r="N4" s="24"/>
      <c r="O4" s="108">
        <v>4</v>
      </c>
    </row>
    <row r="5" spans="2:15" ht="24" customHeight="1" x14ac:dyDescent="0.25">
      <c r="B5" s="81"/>
      <c r="C5" s="85"/>
      <c r="D5" s="86"/>
      <c r="E5" s="87"/>
      <c r="F5" s="14"/>
      <c r="G5" s="17">
        <f ca="1">IF(LEN(INDIRECT(ADDRESS(ROW()-1, COLUMN())))=1,"",INDIRECT(ADDRESS(29,6))-INDIRECT(ADDRESS(29,7)))</f>
        <v>9</v>
      </c>
      <c r="H5" s="17">
        <f ca="1">IF(LEN(INDIRECT(ADDRESS(ROW()-1, COLUMN())))=1,"",INDIRECT(ADDRESS(32,7))-INDIRECT(ADDRESS(32,6)))</f>
        <v>-7</v>
      </c>
      <c r="I5" s="17">
        <f ca="1">IF(LEN(INDIRECT(ADDRESS(ROW()-1, COLUMN())))=1,"",INDIRECT(ADDRESS(38,6))-INDIRECT(ADDRESS(38,7)))</f>
        <v>-12</v>
      </c>
      <c r="J5" s="17">
        <f ca="1">IF(LEN(INDIRECT(ADDRESS(ROW()-1, COLUMN())))=1,"",INDIRECT(ADDRESS(43,7))-INDIRECT(ADDRESS(43,6)))</f>
        <v>-7</v>
      </c>
      <c r="K5" s="46">
        <f ca="1">IF(LEN(INDIRECT(ADDRESS(ROW()-1, COLUMN())))=1,"",INDIRECT(ADDRESS(47,6))-INDIRECT(ADDRESS(47,7)))</f>
        <v>3</v>
      </c>
      <c r="L5" s="18">
        <f ca="1">IF(LEN(INDIRECT(ADDRESS(ROW()-1, COLUMN())))=1,"",INDIRECT(ADDRESS(54,7))-INDIRECT(ADDRESS(54,6)))</f>
        <v>3</v>
      </c>
      <c r="M5" s="89"/>
      <c r="N5" s="17"/>
      <c r="O5" s="107"/>
    </row>
    <row r="6" spans="2:15" ht="24" customHeight="1" x14ac:dyDescent="0.25">
      <c r="B6" s="92">
        <v>2</v>
      </c>
      <c r="C6" s="85" t="s">
        <v>32</v>
      </c>
      <c r="D6" s="86"/>
      <c r="E6" s="87"/>
      <c r="F6" s="12" t="str">
        <f ca="1">INDIRECT(ADDRESS(29,7))&amp;":"&amp;INDIRECT(ADDRESS(29,6))</f>
        <v>4:13</v>
      </c>
      <c r="G6" s="8"/>
      <c r="H6" s="7" t="str">
        <f ca="1">INDIRECT(ADDRESS(39,6))&amp;":"&amp;INDIRECT(ADDRESS(39,7))</f>
        <v>9:10</v>
      </c>
      <c r="I6" s="7" t="str">
        <f ca="1">INDIRECT(ADDRESS(42,7))&amp;":"&amp;INDIRECT(ADDRESS(42,6))</f>
        <v>13:5</v>
      </c>
      <c r="J6" s="7" t="str">
        <f ca="1">INDIRECT(ADDRESS(48,6))&amp;":"&amp;INDIRECT(ADDRESS(48,7))</f>
        <v>7:13</v>
      </c>
      <c r="K6" s="47" t="str">
        <f ca="1">INDIRECT(ADDRESS(53,7))&amp;":"&amp;INDIRECT(ADDRESS(53,6))</f>
        <v>9:13</v>
      </c>
      <c r="L6" s="11" t="str">
        <f ca="1">INDIRECT(ADDRESS(22,6))&amp;":"&amp;INDIRECT(ADDRESS(22,7))</f>
        <v>13:9</v>
      </c>
      <c r="M6" s="89">
        <f ca="1">IF(COUNT(F7:L7)=0,"",COUNTIF(F7:L7,"&gt;0")+0.5*COUNTIF(F7:L7,0))</f>
        <v>2</v>
      </c>
      <c r="N6" s="17"/>
      <c r="O6" s="106">
        <v>5</v>
      </c>
    </row>
    <row r="7" spans="2:15" ht="24" customHeight="1" x14ac:dyDescent="0.25">
      <c r="B7" s="81"/>
      <c r="C7" s="85"/>
      <c r="D7" s="86"/>
      <c r="E7" s="87"/>
      <c r="F7" s="23">
        <f ca="1">IF(LEN(INDIRECT(ADDRESS(ROW()-1, COLUMN())))=1,"",INDIRECT(ADDRESS(29,7))-INDIRECT(ADDRESS(29,6)))</f>
        <v>-9</v>
      </c>
      <c r="G7" s="15"/>
      <c r="H7" s="17">
        <f ca="1">IF(LEN(INDIRECT(ADDRESS(ROW()-1, COLUMN())))=1,"",INDIRECT(ADDRESS(39,6))-INDIRECT(ADDRESS(39,7)))</f>
        <v>-1</v>
      </c>
      <c r="I7" s="17">
        <f ca="1">IF(LEN(INDIRECT(ADDRESS(ROW()-1, COLUMN())))=1,"",INDIRECT(ADDRESS(42,7))-INDIRECT(ADDRESS(42,6)))</f>
        <v>8</v>
      </c>
      <c r="J7" s="17">
        <f ca="1">IF(LEN(INDIRECT(ADDRESS(ROW()-1, COLUMN())))=1,"",INDIRECT(ADDRESS(48,6))-INDIRECT(ADDRESS(48,7)))</f>
        <v>-6</v>
      </c>
      <c r="K7" s="46">
        <f ca="1">IF(LEN(INDIRECT(ADDRESS(ROW()-1, COLUMN())))=1,"",INDIRECT(ADDRESS(53,7))-INDIRECT(ADDRESS(53,6)))</f>
        <v>-4</v>
      </c>
      <c r="L7" s="18">
        <f ca="1">IF(LEN(INDIRECT(ADDRESS(ROW()-1, COLUMN())))=1,"",INDIRECT(ADDRESS(22,6))-INDIRECT(ADDRESS(22,7)))</f>
        <v>4</v>
      </c>
      <c r="M7" s="89"/>
      <c r="N7" s="17">
        <f ca="1">IF(COUNT(F7:L7)=0,"",SUM(F7:L7))</f>
        <v>-8</v>
      </c>
      <c r="O7" s="107"/>
    </row>
    <row r="8" spans="2:15" ht="24" customHeight="1" x14ac:dyDescent="0.25">
      <c r="B8" s="92">
        <v>3</v>
      </c>
      <c r="C8" s="85" t="s">
        <v>33</v>
      </c>
      <c r="D8" s="86"/>
      <c r="E8" s="87"/>
      <c r="F8" s="12" t="str">
        <f ca="1">INDIRECT(ADDRESS(32,6))&amp;":"&amp;INDIRECT(ADDRESS(32,7))</f>
        <v>13:6</v>
      </c>
      <c r="G8" s="7" t="str">
        <f ca="1">INDIRECT(ADDRESS(39,7))&amp;":"&amp;INDIRECT(ADDRESS(39,6))</f>
        <v>10:9</v>
      </c>
      <c r="H8" s="8"/>
      <c r="I8" s="7" t="str">
        <f ca="1">INDIRECT(ADDRESS(49,6))&amp;":"&amp;INDIRECT(ADDRESS(49,7))</f>
        <v>12:13</v>
      </c>
      <c r="J8" s="7" t="str">
        <f ca="1">INDIRECT(ADDRESS(52,7))&amp;":"&amp;INDIRECT(ADDRESS(52,6))</f>
        <v>13:6</v>
      </c>
      <c r="K8" s="47" t="str">
        <f ca="1">INDIRECT(ADDRESS(23,6))&amp;":"&amp;INDIRECT(ADDRESS(23,7))</f>
        <v>13:3</v>
      </c>
      <c r="L8" s="11" t="str">
        <f ca="1">INDIRECT(ADDRESS(28,7))&amp;":"&amp;INDIRECT(ADDRESS(28,6))</f>
        <v>11:6</v>
      </c>
      <c r="M8" s="89">
        <f ca="1">IF(COUNT(F9:L9)=0,"",COUNTIF(F9:L9,"&gt;0")+0.5*COUNTIF(F9:L9,0))</f>
        <v>5</v>
      </c>
      <c r="N8" s="17" t="s">
        <v>29</v>
      </c>
      <c r="O8" s="106">
        <v>2</v>
      </c>
    </row>
    <row r="9" spans="2:15" ht="24" customHeight="1" x14ac:dyDescent="0.25">
      <c r="B9" s="81"/>
      <c r="C9" s="85"/>
      <c r="D9" s="86"/>
      <c r="E9" s="87"/>
      <c r="F9" s="23">
        <f ca="1">IF(LEN(INDIRECT(ADDRESS(ROW()-1, COLUMN())))=1,"",INDIRECT(ADDRESS(32,6))-INDIRECT(ADDRESS(32,7)))</f>
        <v>7</v>
      </c>
      <c r="G9" s="17">
        <f ca="1">IF(LEN(INDIRECT(ADDRESS(ROW()-1, COLUMN())))=1,"",INDIRECT(ADDRESS(39,7))-INDIRECT(ADDRESS(39,6)))</f>
        <v>1</v>
      </c>
      <c r="H9" s="15"/>
      <c r="I9" s="17">
        <f ca="1">IF(LEN(INDIRECT(ADDRESS(ROW()-1, COLUMN())))=1,"",INDIRECT(ADDRESS(49,6))-INDIRECT(ADDRESS(49,7)))</f>
        <v>-1</v>
      </c>
      <c r="J9" s="17">
        <f ca="1">IF(LEN(INDIRECT(ADDRESS(ROW()-1, COLUMN())))=1,"",INDIRECT(ADDRESS(52,7))-INDIRECT(ADDRESS(52,6)))</f>
        <v>7</v>
      </c>
      <c r="K9" s="46">
        <f ca="1">IF(LEN(INDIRECT(ADDRESS(ROW()-1, COLUMN())))=1,"",INDIRECT(ADDRESS(23,6))-INDIRECT(ADDRESS(23,7)))</f>
        <v>10</v>
      </c>
      <c r="L9" s="18">
        <f ca="1">IF(LEN(INDIRECT(ADDRESS(ROW()-1, COLUMN())))=1,"",INDIRECT(ADDRESS(28,7))-INDIRECT(ADDRESS(28,6)))</f>
        <v>5</v>
      </c>
      <c r="M9" s="89"/>
      <c r="N9" s="17"/>
      <c r="O9" s="107"/>
    </row>
    <row r="10" spans="2:15" ht="24" customHeight="1" x14ac:dyDescent="0.25">
      <c r="B10" s="92">
        <v>4</v>
      </c>
      <c r="C10" s="85" t="s">
        <v>34</v>
      </c>
      <c r="D10" s="86"/>
      <c r="E10" s="87"/>
      <c r="F10" s="12" t="str">
        <f ca="1">INDIRECT(ADDRESS(38,7))&amp;":"&amp;INDIRECT(ADDRESS(38,6))</f>
        <v>13:1</v>
      </c>
      <c r="G10" s="7" t="str">
        <f ca="1">INDIRECT(ADDRESS(42,6))&amp;":"&amp;INDIRECT(ADDRESS(42,7))</f>
        <v>5:13</v>
      </c>
      <c r="H10" s="7" t="str">
        <f ca="1">INDIRECT(ADDRESS(49,7))&amp;":"&amp;INDIRECT(ADDRESS(49,6))</f>
        <v>13:12</v>
      </c>
      <c r="I10" s="8"/>
      <c r="J10" s="7" t="str">
        <f ca="1">INDIRECT(ADDRESS(24,6))&amp;":"&amp;INDIRECT(ADDRESS(24,7))</f>
        <v>13:7</v>
      </c>
      <c r="K10" s="47" t="str">
        <f ca="1">INDIRECT(ADDRESS(27,7))&amp;":"&amp;INDIRECT(ADDRESS(27,6))</f>
        <v>13:0</v>
      </c>
      <c r="L10" s="11" t="str">
        <f ca="1">INDIRECT(ADDRESS(33,6))&amp;":"&amp;INDIRECT(ADDRESS(33,7))</f>
        <v>12:11</v>
      </c>
      <c r="M10" s="89">
        <f ca="1">IF(COUNT(F11:L11)=0,"",COUNTIF(F11:L11,"&gt;0")+0.5*COUNTIF(F11:L11,0))</f>
        <v>5</v>
      </c>
      <c r="N10" s="17" t="s">
        <v>28</v>
      </c>
      <c r="O10" s="106">
        <v>1</v>
      </c>
    </row>
    <row r="11" spans="2:15" ht="24" customHeight="1" x14ac:dyDescent="0.25">
      <c r="B11" s="81"/>
      <c r="C11" s="85"/>
      <c r="D11" s="86"/>
      <c r="E11" s="87"/>
      <c r="F11" s="23">
        <f ca="1">IF(LEN(INDIRECT(ADDRESS(ROW()-1, COLUMN())))=1,"",INDIRECT(ADDRESS(38,7))-INDIRECT(ADDRESS(38,6)))</f>
        <v>12</v>
      </c>
      <c r="G11" s="17">
        <f ca="1">IF(LEN(INDIRECT(ADDRESS(ROW()-1, COLUMN())))=1,"",INDIRECT(ADDRESS(42,6))-INDIRECT(ADDRESS(42,7)))</f>
        <v>-8</v>
      </c>
      <c r="H11" s="17">
        <f ca="1">IF(LEN(INDIRECT(ADDRESS(ROW()-1, COLUMN())))=1,"",INDIRECT(ADDRESS(49,7))-INDIRECT(ADDRESS(49,6)))</f>
        <v>1</v>
      </c>
      <c r="I11" s="15"/>
      <c r="J11" s="17">
        <f ca="1">IF(LEN(INDIRECT(ADDRESS(ROW()-1, COLUMN())))=1,"",INDIRECT(ADDRESS(24,6))-INDIRECT(ADDRESS(24,7)))</f>
        <v>6</v>
      </c>
      <c r="K11" s="46">
        <f ca="1">IF(LEN(INDIRECT(ADDRESS(ROW()-1, COLUMN())))=1,"",INDIRECT(ADDRESS(27,7))-INDIRECT(ADDRESS(27,6)))</f>
        <v>13</v>
      </c>
      <c r="L11" s="18">
        <f ca="1">IF(LEN(INDIRECT(ADDRESS(ROW()-1, COLUMN())))=1,"",INDIRECT(ADDRESS(33,6))-INDIRECT(ADDRESS(33,7)))</f>
        <v>1</v>
      </c>
      <c r="M11" s="89"/>
      <c r="N11" s="17"/>
      <c r="O11" s="107"/>
    </row>
    <row r="12" spans="2:15" ht="24" customHeight="1" x14ac:dyDescent="0.25">
      <c r="B12" s="92">
        <v>5</v>
      </c>
      <c r="C12" s="85" t="s">
        <v>35</v>
      </c>
      <c r="D12" s="86"/>
      <c r="E12" s="87"/>
      <c r="F12" s="12" t="str">
        <f ca="1">INDIRECT(ADDRESS(43,6))&amp;":"&amp;INDIRECT(ADDRESS(43,7))</f>
        <v>13:6</v>
      </c>
      <c r="G12" s="7" t="str">
        <f ca="1">INDIRECT(ADDRESS(48,7))&amp;":"&amp;INDIRECT(ADDRESS(48,6))</f>
        <v>13:7</v>
      </c>
      <c r="H12" s="7" t="str">
        <f ca="1">INDIRECT(ADDRESS(52,6))&amp;":"&amp;INDIRECT(ADDRESS(52,7))</f>
        <v>6:13</v>
      </c>
      <c r="I12" s="7" t="str">
        <f ca="1">INDIRECT(ADDRESS(24,7))&amp;":"&amp;INDIRECT(ADDRESS(24,6))</f>
        <v>7:13</v>
      </c>
      <c r="J12" s="8"/>
      <c r="K12" s="47" t="str">
        <f ca="1">INDIRECT(ADDRESS(34,6))&amp;":"&amp;INDIRECT(ADDRESS(34,7))</f>
        <v>13:12</v>
      </c>
      <c r="L12" s="11" t="str">
        <f ca="1">INDIRECT(ADDRESS(37,7))&amp;":"&amp;INDIRECT(ADDRESS(37,6))</f>
        <v>13:6</v>
      </c>
      <c r="M12" s="89">
        <f ca="1">IF(COUNT(F13:L13)=0,"",COUNTIF(F13:L13,"&gt;0")+0.5*COUNTIF(F13:L13,0))</f>
        <v>4</v>
      </c>
      <c r="N12" s="17"/>
      <c r="O12" s="106">
        <v>3</v>
      </c>
    </row>
    <row r="13" spans="2:15" ht="24" customHeight="1" x14ac:dyDescent="0.25">
      <c r="B13" s="81"/>
      <c r="C13" s="85"/>
      <c r="D13" s="86"/>
      <c r="E13" s="87"/>
      <c r="F13" s="23">
        <f ca="1">IF(LEN(INDIRECT(ADDRESS(ROW()-1, COLUMN())))=1,"",INDIRECT(ADDRESS(43,6))-INDIRECT(ADDRESS(43,7)))</f>
        <v>7</v>
      </c>
      <c r="G13" s="17">
        <f ca="1">IF(LEN(INDIRECT(ADDRESS(ROW()-1, COLUMN())))=1,"",INDIRECT(ADDRESS(48,7))-INDIRECT(ADDRESS(48,6)))</f>
        <v>6</v>
      </c>
      <c r="H13" s="17">
        <f ca="1">IF(LEN(INDIRECT(ADDRESS(ROW()-1, COLUMN())))=1,"",INDIRECT(ADDRESS(52,6))-INDIRECT(ADDRESS(52,7)))</f>
        <v>-7</v>
      </c>
      <c r="I13" s="17">
        <f ca="1">IF(LEN(INDIRECT(ADDRESS(ROW()-1, COLUMN())))=1,"",INDIRECT(ADDRESS(24,7))-INDIRECT(ADDRESS(24,6)))</f>
        <v>-6</v>
      </c>
      <c r="J13" s="15"/>
      <c r="K13" s="46">
        <f ca="1">IF(LEN(INDIRECT(ADDRESS(ROW()-1, COLUMN())))=1,"",INDIRECT(ADDRESS(34,6))-INDIRECT(ADDRESS(34,7)))</f>
        <v>1</v>
      </c>
      <c r="L13" s="18">
        <f ca="1">IF(LEN(INDIRECT(ADDRESS(ROW()-1, COLUMN())))=1,"",INDIRECT(ADDRESS(37,7))-INDIRECT(ADDRESS(37,6)))</f>
        <v>7</v>
      </c>
      <c r="M13" s="89"/>
      <c r="N13" s="17"/>
      <c r="O13" s="107"/>
    </row>
    <row r="14" spans="2:15" ht="24" customHeight="1" x14ac:dyDescent="0.25">
      <c r="B14" s="92">
        <v>6</v>
      </c>
      <c r="C14" s="85" t="s">
        <v>36</v>
      </c>
      <c r="D14" s="86"/>
      <c r="E14" s="87"/>
      <c r="F14" s="12" t="str">
        <f ca="1">INDIRECT(ADDRESS(47,7))&amp;":"&amp;INDIRECT(ADDRESS(47,6))</f>
        <v>10:13</v>
      </c>
      <c r="G14" s="7" t="str">
        <f ca="1">INDIRECT(ADDRESS(53,6))&amp;":"&amp;INDIRECT(ADDRESS(53,7))</f>
        <v>13:9</v>
      </c>
      <c r="H14" s="7" t="str">
        <f ca="1">INDIRECT(ADDRESS(23,7))&amp;":"&amp;INDIRECT(ADDRESS(23,6))</f>
        <v>3:13</v>
      </c>
      <c r="I14" s="7" t="str">
        <f ca="1">INDIRECT(ADDRESS(27,6))&amp;":"&amp;INDIRECT(ADDRESS(27,7))</f>
        <v>0:13</v>
      </c>
      <c r="J14" s="7" t="str">
        <f ca="1">INDIRECT(ADDRESS(34,7))&amp;":"&amp;INDIRECT(ADDRESS(34,6))</f>
        <v>12:13</v>
      </c>
      <c r="K14" s="48"/>
      <c r="L14" s="52" t="str">
        <f ca="1">INDIRECT(ADDRESS(44,6))&amp;":"&amp;INDIRECT(ADDRESS(44,7))</f>
        <v>6:13</v>
      </c>
      <c r="M14" s="89">
        <f ca="1">IF(COUNT(F15:L15)=0,"",COUNTIF(F15:L15,"&gt;0")+0.5*COUNTIF(F15:L15,0))</f>
        <v>1</v>
      </c>
      <c r="N14" s="17" t="s">
        <v>29</v>
      </c>
      <c r="O14" s="106">
        <v>7</v>
      </c>
    </row>
    <row r="15" spans="2:15" ht="24" customHeight="1" x14ac:dyDescent="0.25">
      <c r="B15" s="81"/>
      <c r="C15" s="85"/>
      <c r="D15" s="86"/>
      <c r="E15" s="87"/>
      <c r="F15" s="23">
        <f ca="1">IF(LEN(INDIRECT(ADDRESS(ROW()-1, COLUMN())))=1,"",INDIRECT(ADDRESS(47,7))-INDIRECT(ADDRESS(47,6)))</f>
        <v>-3</v>
      </c>
      <c r="G15" s="17">
        <f ca="1">IF(LEN(INDIRECT(ADDRESS(ROW()-1, COLUMN())))=1,"",INDIRECT(ADDRESS(53,6))-INDIRECT(ADDRESS(53,7)))</f>
        <v>4</v>
      </c>
      <c r="H15" s="17">
        <f ca="1">IF(LEN(INDIRECT(ADDRESS(ROW()-1, COLUMN())))=1,"",INDIRECT(ADDRESS(23,7))-INDIRECT(ADDRESS(23,6)))</f>
        <v>-10</v>
      </c>
      <c r="I15" s="17">
        <f ca="1">IF(LEN(INDIRECT(ADDRESS(ROW()-1, COLUMN())))=1,"",INDIRECT(ADDRESS(27,6))-INDIRECT(ADDRESS(27,7)))</f>
        <v>-13</v>
      </c>
      <c r="J15" s="17">
        <f ca="1">IF(LEN(INDIRECT(ADDRESS(ROW()-1, COLUMN())))=1,"",INDIRECT(ADDRESS(34,7))-INDIRECT(ADDRESS(34,6)))</f>
        <v>-1</v>
      </c>
      <c r="K15" s="49"/>
      <c r="L15" s="53">
        <f ca="1">IF(LEN(INDIRECT(ADDRESS(ROW()-1, COLUMN())))=1,"",INDIRECT(ADDRESS(44,6))-INDIRECT(ADDRESS(44,7)))</f>
        <v>-7</v>
      </c>
      <c r="M15" s="89"/>
      <c r="N15" s="17"/>
      <c r="O15" s="107"/>
    </row>
    <row r="16" spans="2:15" ht="24" customHeight="1" x14ac:dyDescent="0.25">
      <c r="B16" s="110">
        <v>7</v>
      </c>
      <c r="C16" s="111" t="s">
        <v>37</v>
      </c>
      <c r="D16" s="112"/>
      <c r="E16" s="113"/>
      <c r="F16" s="40" t="str">
        <f ca="1">INDIRECT(ADDRESS(54,6))&amp;":"&amp;INDIRECT(ADDRESS(54,7))</f>
        <v>10:13</v>
      </c>
      <c r="G16" s="41" t="str">
        <f ca="1">INDIRECT(ADDRESS(22,7))&amp;":"&amp;INDIRECT(ADDRESS(22,6))</f>
        <v>9:13</v>
      </c>
      <c r="H16" s="41" t="str">
        <f ca="1">INDIRECT(ADDRESS(28,6))&amp;":"&amp;INDIRECT(ADDRESS(28,7))</f>
        <v>6:11</v>
      </c>
      <c r="I16" s="41" t="str">
        <f ca="1">INDIRECT(ADDRESS(33,7))&amp;":"&amp;INDIRECT(ADDRESS(33,6))</f>
        <v>11:12</v>
      </c>
      <c r="J16" s="41" t="str">
        <f ca="1">INDIRECT(ADDRESS(37,6))&amp;":"&amp;INDIRECT(ADDRESS(37,7))</f>
        <v>6:13</v>
      </c>
      <c r="K16" s="50" t="str">
        <f ca="1">INDIRECT(ADDRESS(44,7))&amp;":"&amp;INDIRECT(ADDRESS(44,6))</f>
        <v>13:6</v>
      </c>
      <c r="L16" s="42"/>
      <c r="M16" s="89">
        <f ca="1">IF(COUNT(F17:L17)=0,"",COUNTIF(F17:L17,"&gt;0")+0.5*COUNTIF(F17:L17,0))</f>
        <v>1</v>
      </c>
      <c r="N16" s="43" t="s">
        <v>28</v>
      </c>
      <c r="O16" s="114">
        <v>6</v>
      </c>
    </row>
    <row r="17" spans="2:15" ht="24" customHeight="1" thickBot="1" x14ac:dyDescent="0.3">
      <c r="B17" s="93"/>
      <c r="C17" s="94"/>
      <c r="D17" s="95"/>
      <c r="E17" s="96"/>
      <c r="F17" s="20">
        <f ca="1">IF(LEN(INDIRECT(ADDRESS(ROW()-1, COLUMN())))=1,"",INDIRECT(ADDRESS(54,6))-INDIRECT(ADDRESS(54,7)))</f>
        <v>-3</v>
      </c>
      <c r="G17" s="19">
        <f ca="1">IF(LEN(INDIRECT(ADDRESS(ROW()-1, COLUMN())))=1,"",INDIRECT(ADDRESS(22,7))-INDIRECT(ADDRESS(22,6)))</f>
        <v>-4</v>
      </c>
      <c r="H17" s="19">
        <f ca="1">IF(LEN(INDIRECT(ADDRESS(ROW()-1, COLUMN())))=1,"",INDIRECT(ADDRESS(28,6))-INDIRECT(ADDRESS(28,7)))</f>
        <v>-5</v>
      </c>
      <c r="I17" s="19">
        <f ca="1">IF(LEN(INDIRECT(ADDRESS(ROW()-1, COLUMN())))=1,"",INDIRECT(ADDRESS(33,7))-INDIRECT(ADDRESS(33,6)))</f>
        <v>-1</v>
      </c>
      <c r="J17" s="19">
        <f ca="1">IF(LEN(INDIRECT(ADDRESS(ROW()-1, COLUMN())))=1,"",INDIRECT(ADDRESS(37,6))-INDIRECT(ADDRESS(37,7)))</f>
        <v>-7</v>
      </c>
      <c r="K17" s="51">
        <f ca="1">IF(LEN(INDIRECT(ADDRESS(ROW()-1, COLUMN())))=1,"",INDIRECT(ADDRESS(44,7))-INDIRECT(ADDRESS(44,6)))</f>
        <v>7</v>
      </c>
      <c r="L17" s="16"/>
      <c r="M17" s="97"/>
      <c r="N17" s="19"/>
      <c r="O17" s="109"/>
    </row>
    <row r="18" spans="2:15" x14ac:dyDescent="0.25">
      <c r="M18"/>
    </row>
    <row r="19" spans="2:15" x14ac:dyDescent="0.25">
      <c r="M19"/>
    </row>
    <row r="20" spans="2:15" x14ac:dyDescent="0.25">
      <c r="M20"/>
    </row>
    <row r="21" spans="2:15" ht="30" customHeight="1" thickBot="1" x14ac:dyDescent="0.3">
      <c r="B21" s="99" t="s">
        <v>4</v>
      </c>
      <c r="C21" s="99"/>
      <c r="D21" s="99"/>
      <c r="E21" s="99"/>
      <c r="F21" s="99"/>
      <c r="G21" s="99"/>
      <c r="H21" s="99"/>
      <c r="I21" s="99"/>
      <c r="J21" s="99"/>
      <c r="K21" s="99"/>
      <c r="M21"/>
    </row>
    <row r="22" spans="2:15" ht="30" customHeight="1" thickBot="1" x14ac:dyDescent="0.3">
      <c r="B22" s="5">
        <v>2</v>
      </c>
      <c r="C22" s="100" t="str">
        <f ca="1">IF(ISBLANK(INDIRECT(ADDRESS(B22*2+2,3))),"",INDIRECT(ADDRESS(B22*2+2,3)))</f>
        <v>Нечаев Максим</v>
      </c>
      <c r="D22" s="100"/>
      <c r="E22" s="101"/>
      <c r="F22" s="26">
        <v>13</v>
      </c>
      <c r="G22" s="27">
        <v>9</v>
      </c>
      <c r="H22" s="102" t="str">
        <f ca="1">IF(ISBLANK(INDIRECT(ADDRESS(K22*2+2,3))),"",INDIRECT(ADDRESS(K22*2+2,3)))</f>
        <v>Майсов Антон</v>
      </c>
      <c r="I22" s="100"/>
      <c r="J22" s="100"/>
      <c r="K22" s="5">
        <v>7</v>
      </c>
      <c r="L22" s="35" t="s">
        <v>11</v>
      </c>
      <c r="M22" s="29">
        <v>4</v>
      </c>
    </row>
    <row r="23" spans="2:15" ht="30" customHeight="1" thickBot="1" x14ac:dyDescent="0.3">
      <c r="B23" s="5">
        <v>3</v>
      </c>
      <c r="C23" s="100" t="str">
        <f ca="1">IF(ISBLANK(INDIRECT(ADDRESS(B23*2+2,3))),"",INDIRECT(ADDRESS(B23*2+2,3)))</f>
        <v>Помазан Геннадий</v>
      </c>
      <c r="D23" s="100"/>
      <c r="E23" s="101"/>
      <c r="F23" s="26">
        <v>13</v>
      </c>
      <c r="G23" s="27">
        <v>3</v>
      </c>
      <c r="H23" s="102" t="str">
        <f ca="1">IF(ISBLANK(INDIRECT(ADDRESS(K23*2+2,3))),"",INDIRECT(ADDRESS(K23*2+2,3)))</f>
        <v>Дорошенко Анатолий</v>
      </c>
      <c r="I23" s="100"/>
      <c r="J23" s="100"/>
      <c r="K23" s="5">
        <v>6</v>
      </c>
      <c r="L23" s="35" t="s">
        <v>11</v>
      </c>
      <c r="M23" s="29">
        <v>5</v>
      </c>
    </row>
    <row r="24" spans="2:15" ht="30" customHeight="1" thickBot="1" x14ac:dyDescent="0.3">
      <c r="B24" s="5">
        <v>4</v>
      </c>
      <c r="C24" s="100" t="str">
        <f ca="1">IF(ISBLANK(INDIRECT(ADDRESS(B24*2+2,3))),"",INDIRECT(ADDRESS(B24*2+2,3)))</f>
        <v>Субанов Руслан</v>
      </c>
      <c r="D24" s="100"/>
      <c r="E24" s="101"/>
      <c r="F24" s="26">
        <v>13</v>
      </c>
      <c r="G24" s="27">
        <v>7</v>
      </c>
      <c r="H24" s="102" t="str">
        <f ca="1">IF(ISBLANK(INDIRECT(ADDRESS(K24*2+2,3))),"",INDIRECT(ADDRESS(K24*2+2,3)))</f>
        <v>Шубин Андрей</v>
      </c>
      <c r="I24" s="100"/>
      <c r="J24" s="100"/>
      <c r="K24" s="5">
        <v>5</v>
      </c>
      <c r="L24" s="35" t="s">
        <v>11</v>
      </c>
      <c r="M24" s="29">
        <v>6</v>
      </c>
    </row>
    <row r="25" spans="2:15" ht="30" customHeight="1" x14ac:dyDescent="0.25"/>
    <row r="26" spans="2:15" ht="30" customHeight="1" thickBot="1" x14ac:dyDescent="0.3">
      <c r="B26" s="99" t="s">
        <v>5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2:15" ht="30" customHeight="1" thickBot="1" x14ac:dyDescent="0.3">
      <c r="B27" s="5">
        <v>6</v>
      </c>
      <c r="C27" s="100" t="str">
        <f ca="1">IF(ISBLANK(INDIRECT(ADDRESS(B27*2+2,3))),"",INDIRECT(ADDRESS(B27*2+2,3)))</f>
        <v>Дорошенко Анатолий</v>
      </c>
      <c r="D27" s="100"/>
      <c r="E27" s="101"/>
      <c r="F27" s="26">
        <v>0</v>
      </c>
      <c r="G27" s="27">
        <v>13</v>
      </c>
      <c r="H27" s="102" t="str">
        <f ca="1">IF(ISBLANK(INDIRECT(ADDRESS(K27*2+2,3))),"",INDIRECT(ADDRESS(K27*2+2,3)))</f>
        <v>Субанов Руслан</v>
      </c>
      <c r="I27" s="100"/>
      <c r="J27" s="100"/>
      <c r="K27" s="5">
        <v>4</v>
      </c>
      <c r="L27" s="35" t="s">
        <v>11</v>
      </c>
      <c r="M27" s="29">
        <v>1</v>
      </c>
    </row>
    <row r="28" spans="2:15" ht="30" customHeight="1" thickBot="1" x14ac:dyDescent="0.3">
      <c r="B28" s="5">
        <v>7</v>
      </c>
      <c r="C28" s="100" t="str">
        <f ca="1">IF(ISBLANK(INDIRECT(ADDRESS(B28*2+2,3))),"",INDIRECT(ADDRESS(B28*2+2,3)))</f>
        <v>Майсов Антон</v>
      </c>
      <c r="D28" s="100"/>
      <c r="E28" s="101"/>
      <c r="F28" s="26">
        <v>6</v>
      </c>
      <c r="G28" s="27">
        <v>11</v>
      </c>
      <c r="H28" s="102" t="str">
        <f ca="1">IF(ISBLANK(INDIRECT(ADDRESS(K28*2+2,3))),"",INDIRECT(ADDRESS(K28*2+2,3)))</f>
        <v>Помазан Геннадий</v>
      </c>
      <c r="I28" s="100"/>
      <c r="J28" s="100"/>
      <c r="K28" s="5">
        <v>3</v>
      </c>
      <c r="L28" s="35" t="s">
        <v>11</v>
      </c>
      <c r="M28" s="29">
        <v>2</v>
      </c>
    </row>
    <row r="29" spans="2:15" ht="30" customHeight="1" thickBot="1" x14ac:dyDescent="0.3">
      <c r="B29" s="5">
        <v>1</v>
      </c>
      <c r="C29" s="100" t="str">
        <f ca="1">IF(ISBLANK(INDIRECT(ADDRESS(B29*2+2,3))),"",INDIRECT(ADDRESS(B29*2+2,3)))</f>
        <v>Капран-Индаяти Сергей</v>
      </c>
      <c r="D29" s="100"/>
      <c r="E29" s="101"/>
      <c r="F29" s="26">
        <v>13</v>
      </c>
      <c r="G29" s="27">
        <v>4</v>
      </c>
      <c r="H29" s="102" t="str">
        <f ca="1">IF(ISBLANK(INDIRECT(ADDRESS(K29*2+2,3))),"",INDIRECT(ADDRESS(K29*2+2,3)))</f>
        <v>Нечаев Максим</v>
      </c>
      <c r="I29" s="100"/>
      <c r="J29" s="100"/>
      <c r="K29" s="5">
        <v>2</v>
      </c>
      <c r="L29" s="35" t="s">
        <v>11</v>
      </c>
      <c r="M29" s="29">
        <v>3</v>
      </c>
    </row>
    <row r="30" spans="2:15" ht="30" customHeight="1" x14ac:dyDescent="0.25"/>
    <row r="31" spans="2:15" ht="30" customHeight="1" thickBot="1" x14ac:dyDescent="0.3">
      <c r="B31" s="99" t="s">
        <v>6</v>
      </c>
      <c r="C31" s="99"/>
      <c r="D31" s="99"/>
      <c r="E31" s="99"/>
      <c r="F31" s="99"/>
      <c r="G31" s="99"/>
      <c r="H31" s="99"/>
      <c r="I31" s="99"/>
      <c r="J31" s="99"/>
      <c r="K31" s="99"/>
    </row>
    <row r="32" spans="2:15" ht="30" customHeight="1" thickBot="1" x14ac:dyDescent="0.3">
      <c r="B32" s="5">
        <v>3</v>
      </c>
      <c r="C32" s="100" t="str">
        <f ca="1">IF(ISBLANK(INDIRECT(ADDRESS(B32*2+2,3))),"",INDIRECT(ADDRESS(B32*2+2,3)))</f>
        <v>Помазан Геннадий</v>
      </c>
      <c r="D32" s="100"/>
      <c r="E32" s="101"/>
      <c r="F32" s="26">
        <v>13</v>
      </c>
      <c r="G32" s="27">
        <v>6</v>
      </c>
      <c r="H32" s="102" t="str">
        <f ca="1">IF(ISBLANK(INDIRECT(ADDRESS(K32*2+2,3))),"",INDIRECT(ADDRESS(K32*2+2,3)))</f>
        <v>Капран-Индаяти Сергей</v>
      </c>
      <c r="I32" s="100"/>
      <c r="J32" s="100"/>
      <c r="K32" s="5">
        <v>1</v>
      </c>
      <c r="L32" s="35" t="s">
        <v>11</v>
      </c>
      <c r="M32" s="29">
        <v>4</v>
      </c>
    </row>
    <row r="33" spans="2:13" ht="30" customHeight="1" thickBot="1" x14ac:dyDescent="0.3">
      <c r="B33" s="5">
        <v>4</v>
      </c>
      <c r="C33" s="100" t="str">
        <f ca="1">IF(ISBLANK(INDIRECT(ADDRESS(B33*2+2,3))),"",INDIRECT(ADDRESS(B33*2+2,3)))</f>
        <v>Субанов Руслан</v>
      </c>
      <c r="D33" s="100"/>
      <c r="E33" s="101"/>
      <c r="F33" s="26">
        <v>12</v>
      </c>
      <c r="G33" s="27">
        <v>11</v>
      </c>
      <c r="H33" s="102" t="str">
        <f ca="1">IF(ISBLANK(INDIRECT(ADDRESS(K33*2+2,3))),"",INDIRECT(ADDRESS(K33*2+2,3)))</f>
        <v>Майсов Антон</v>
      </c>
      <c r="I33" s="100"/>
      <c r="J33" s="100"/>
      <c r="K33" s="5">
        <v>7</v>
      </c>
      <c r="L33" s="35" t="s">
        <v>11</v>
      </c>
      <c r="M33" s="29">
        <v>5</v>
      </c>
    </row>
    <row r="34" spans="2:13" ht="30" customHeight="1" thickBot="1" x14ac:dyDescent="0.3">
      <c r="B34" s="5">
        <v>5</v>
      </c>
      <c r="C34" s="100" t="str">
        <f ca="1">IF(ISBLANK(INDIRECT(ADDRESS(B34*2+2,3))),"",INDIRECT(ADDRESS(B34*2+2,3)))</f>
        <v>Шубин Андрей</v>
      </c>
      <c r="D34" s="100"/>
      <c r="E34" s="101"/>
      <c r="F34" s="26">
        <v>13</v>
      </c>
      <c r="G34" s="27">
        <v>12</v>
      </c>
      <c r="H34" s="102" t="str">
        <f ca="1">IF(ISBLANK(INDIRECT(ADDRESS(K34*2+2,3))),"",INDIRECT(ADDRESS(K34*2+2,3)))</f>
        <v>Дорошенко Анатолий</v>
      </c>
      <c r="I34" s="100"/>
      <c r="J34" s="100"/>
      <c r="K34" s="5">
        <v>6</v>
      </c>
      <c r="L34" s="35" t="s">
        <v>11</v>
      </c>
      <c r="M34" s="29">
        <v>6</v>
      </c>
    </row>
    <row r="35" spans="2:13" ht="30" customHeight="1" x14ac:dyDescent="0.25"/>
    <row r="36" spans="2:13" ht="30" customHeight="1" thickBot="1" x14ac:dyDescent="0.3">
      <c r="B36" s="99" t="s">
        <v>8</v>
      </c>
      <c r="C36" s="99"/>
      <c r="D36" s="99"/>
      <c r="E36" s="99"/>
      <c r="F36" s="99"/>
      <c r="G36" s="99"/>
      <c r="H36" s="99"/>
      <c r="I36" s="99"/>
      <c r="J36" s="99"/>
      <c r="K36" s="99"/>
    </row>
    <row r="37" spans="2:13" ht="30" customHeight="1" thickBot="1" x14ac:dyDescent="0.3">
      <c r="B37" s="5">
        <v>7</v>
      </c>
      <c r="C37" s="100" t="str">
        <f ca="1">IF(ISBLANK(INDIRECT(ADDRESS(B37*2+2,3))),"",INDIRECT(ADDRESS(B37*2+2,3)))</f>
        <v>Майсов Антон</v>
      </c>
      <c r="D37" s="100"/>
      <c r="E37" s="101"/>
      <c r="F37" s="26">
        <v>6</v>
      </c>
      <c r="G37" s="27">
        <v>13</v>
      </c>
      <c r="H37" s="102" t="str">
        <f ca="1">IF(ISBLANK(INDIRECT(ADDRESS(K37*2+2,3))),"",INDIRECT(ADDRESS(K37*2+2,3)))</f>
        <v>Шубин Андрей</v>
      </c>
      <c r="I37" s="100"/>
      <c r="J37" s="100"/>
      <c r="K37" s="5">
        <v>5</v>
      </c>
      <c r="L37" s="35" t="s">
        <v>11</v>
      </c>
      <c r="M37" s="29">
        <v>1</v>
      </c>
    </row>
    <row r="38" spans="2:13" ht="30" customHeight="1" thickBot="1" x14ac:dyDescent="0.3">
      <c r="B38" s="5">
        <v>1</v>
      </c>
      <c r="C38" s="100" t="str">
        <f ca="1">IF(ISBLANK(INDIRECT(ADDRESS(B38*2+2,3))),"",INDIRECT(ADDRESS(B38*2+2,3)))</f>
        <v>Капран-Индаяти Сергей</v>
      </c>
      <c r="D38" s="100"/>
      <c r="E38" s="101"/>
      <c r="F38" s="26">
        <v>1</v>
      </c>
      <c r="G38" s="27">
        <v>13</v>
      </c>
      <c r="H38" s="102" t="str">
        <f ca="1">IF(ISBLANK(INDIRECT(ADDRESS(K38*2+2,3))),"",INDIRECT(ADDRESS(K38*2+2,3)))</f>
        <v>Субанов Руслан</v>
      </c>
      <c r="I38" s="100"/>
      <c r="J38" s="100"/>
      <c r="K38" s="5">
        <v>4</v>
      </c>
      <c r="L38" s="35" t="s">
        <v>11</v>
      </c>
      <c r="M38" s="29">
        <v>2</v>
      </c>
    </row>
    <row r="39" spans="2:13" ht="30" customHeight="1" thickBot="1" x14ac:dyDescent="0.3">
      <c r="B39" s="5">
        <v>2</v>
      </c>
      <c r="C39" s="100" t="str">
        <f ca="1">IF(ISBLANK(INDIRECT(ADDRESS(B39*2+2,3))),"",INDIRECT(ADDRESS(B39*2+2,3)))</f>
        <v>Нечаев Максим</v>
      </c>
      <c r="D39" s="100"/>
      <c r="E39" s="101"/>
      <c r="F39" s="26">
        <v>9</v>
      </c>
      <c r="G39" s="27">
        <v>10</v>
      </c>
      <c r="H39" s="102" t="str">
        <f ca="1">IF(ISBLANK(INDIRECT(ADDRESS(K39*2+2,3))),"",INDIRECT(ADDRESS(K39*2+2,3)))</f>
        <v>Помазан Геннадий</v>
      </c>
      <c r="I39" s="100"/>
      <c r="J39" s="100"/>
      <c r="K39" s="5">
        <v>3</v>
      </c>
      <c r="L39" s="35" t="s">
        <v>11</v>
      </c>
      <c r="M39" s="29">
        <v>3</v>
      </c>
    </row>
    <row r="40" spans="2:13" ht="30" customHeight="1" x14ac:dyDescent="0.25"/>
    <row r="41" spans="2:13" ht="30" customHeight="1" thickBot="1" x14ac:dyDescent="0.3">
      <c r="B41" s="99" t="s">
        <v>9</v>
      </c>
      <c r="C41" s="99"/>
      <c r="D41" s="99"/>
      <c r="E41" s="99"/>
      <c r="F41" s="99"/>
      <c r="G41" s="99"/>
      <c r="H41" s="99"/>
      <c r="I41" s="99"/>
      <c r="J41" s="99"/>
      <c r="K41" s="99"/>
    </row>
    <row r="42" spans="2:13" ht="30" customHeight="1" thickBot="1" x14ac:dyDescent="0.3">
      <c r="B42" s="5">
        <v>4</v>
      </c>
      <c r="C42" s="100" t="str">
        <f ca="1">IF(ISBLANK(INDIRECT(ADDRESS(B42*2+2,3))),"",INDIRECT(ADDRESS(B42*2+2,3)))</f>
        <v>Субанов Руслан</v>
      </c>
      <c r="D42" s="100"/>
      <c r="E42" s="101"/>
      <c r="F42" s="26">
        <v>5</v>
      </c>
      <c r="G42" s="27">
        <v>13</v>
      </c>
      <c r="H42" s="102" t="str">
        <f ca="1">IF(ISBLANK(INDIRECT(ADDRESS(K42*2+2,3))),"",INDIRECT(ADDRESS(K42*2+2,3)))</f>
        <v>Нечаев Максим</v>
      </c>
      <c r="I42" s="100"/>
      <c r="J42" s="100"/>
      <c r="K42" s="5">
        <v>2</v>
      </c>
      <c r="L42" s="35" t="s">
        <v>11</v>
      </c>
      <c r="M42" s="29">
        <v>4</v>
      </c>
    </row>
    <row r="43" spans="2:13" ht="30" customHeight="1" thickBot="1" x14ac:dyDescent="0.3">
      <c r="B43" s="5">
        <v>5</v>
      </c>
      <c r="C43" s="100" t="str">
        <f ca="1">IF(ISBLANK(INDIRECT(ADDRESS(B43*2+2,3))),"",INDIRECT(ADDRESS(B43*2+2,3)))</f>
        <v>Шубин Андрей</v>
      </c>
      <c r="D43" s="100"/>
      <c r="E43" s="101"/>
      <c r="F43" s="26">
        <v>13</v>
      </c>
      <c r="G43" s="27">
        <v>6</v>
      </c>
      <c r="H43" s="102" t="str">
        <f ca="1">IF(ISBLANK(INDIRECT(ADDRESS(K43*2+2,3))),"",INDIRECT(ADDRESS(K43*2+2,3)))</f>
        <v>Капран-Индаяти Сергей</v>
      </c>
      <c r="I43" s="100"/>
      <c r="J43" s="100"/>
      <c r="K43" s="5">
        <v>1</v>
      </c>
      <c r="L43" s="35" t="s">
        <v>11</v>
      </c>
      <c r="M43" s="29">
        <v>5</v>
      </c>
    </row>
    <row r="44" spans="2:13" ht="30" customHeight="1" thickBot="1" x14ac:dyDescent="0.3">
      <c r="B44" s="5">
        <v>6</v>
      </c>
      <c r="C44" s="100" t="str">
        <f ca="1">IF(ISBLANK(INDIRECT(ADDRESS(B44*2+2,3))),"",INDIRECT(ADDRESS(B44*2+2,3)))</f>
        <v>Дорошенко Анатолий</v>
      </c>
      <c r="D44" s="100"/>
      <c r="E44" s="101"/>
      <c r="F44" s="26">
        <v>6</v>
      </c>
      <c r="G44" s="27">
        <v>13</v>
      </c>
      <c r="H44" s="102" t="str">
        <f ca="1">IF(ISBLANK(INDIRECT(ADDRESS(K44*2+2,3))),"",INDIRECT(ADDRESS(K44*2+2,3)))</f>
        <v>Майсов Антон</v>
      </c>
      <c r="I44" s="100"/>
      <c r="J44" s="100"/>
      <c r="K44" s="5">
        <v>7</v>
      </c>
      <c r="L44" s="35" t="s">
        <v>11</v>
      </c>
      <c r="M44" s="29">
        <v>6</v>
      </c>
    </row>
    <row r="45" spans="2:13" ht="30" customHeight="1" x14ac:dyDescent="0.25"/>
    <row r="46" spans="2:13" ht="30" customHeight="1" thickBot="1" x14ac:dyDescent="0.3">
      <c r="B46" s="99" t="s">
        <v>12</v>
      </c>
      <c r="C46" s="99"/>
      <c r="D46" s="99"/>
      <c r="E46" s="99"/>
      <c r="F46" s="99"/>
      <c r="G46" s="99"/>
      <c r="H46" s="99"/>
      <c r="I46" s="99"/>
      <c r="J46" s="99"/>
      <c r="K46" s="99"/>
    </row>
    <row r="47" spans="2:13" ht="30" customHeight="1" thickBot="1" x14ac:dyDescent="0.3">
      <c r="B47" s="5">
        <v>1</v>
      </c>
      <c r="C47" s="100" t="str">
        <f ca="1">IF(ISBLANK(INDIRECT(ADDRESS(B47*2+2,3))),"",INDIRECT(ADDRESS(B47*2+2,3)))</f>
        <v>Капран-Индаяти Сергей</v>
      </c>
      <c r="D47" s="100"/>
      <c r="E47" s="101"/>
      <c r="F47" s="26">
        <v>13</v>
      </c>
      <c r="G47" s="27">
        <v>10</v>
      </c>
      <c r="H47" s="102" t="str">
        <f ca="1">IF(ISBLANK(INDIRECT(ADDRESS(K47*2+2,3))),"",INDIRECT(ADDRESS(K47*2+2,3)))</f>
        <v>Дорошенко Анатолий</v>
      </c>
      <c r="I47" s="100"/>
      <c r="J47" s="100"/>
      <c r="K47" s="5">
        <v>6</v>
      </c>
      <c r="L47" s="35" t="s">
        <v>11</v>
      </c>
      <c r="M47" s="29">
        <v>1</v>
      </c>
    </row>
    <row r="48" spans="2:13" ht="30" customHeight="1" thickBot="1" x14ac:dyDescent="0.3">
      <c r="B48" s="5">
        <v>2</v>
      </c>
      <c r="C48" s="100" t="str">
        <f ca="1">IF(ISBLANK(INDIRECT(ADDRESS(B48*2+2,3))),"",INDIRECT(ADDRESS(B48*2+2,3)))</f>
        <v>Нечаев Максим</v>
      </c>
      <c r="D48" s="100"/>
      <c r="E48" s="101"/>
      <c r="F48" s="26">
        <v>7</v>
      </c>
      <c r="G48" s="27">
        <v>13</v>
      </c>
      <c r="H48" s="102" t="str">
        <f ca="1">IF(ISBLANK(INDIRECT(ADDRESS(K48*2+2,3))),"",INDIRECT(ADDRESS(K48*2+2,3)))</f>
        <v>Шубин Андрей</v>
      </c>
      <c r="I48" s="100"/>
      <c r="J48" s="100"/>
      <c r="K48" s="5">
        <v>5</v>
      </c>
      <c r="L48" s="35" t="s">
        <v>11</v>
      </c>
      <c r="M48" s="29">
        <v>2</v>
      </c>
    </row>
    <row r="49" spans="2:13" ht="30" customHeight="1" thickBot="1" x14ac:dyDescent="0.3">
      <c r="B49" s="5">
        <v>3</v>
      </c>
      <c r="C49" s="100" t="str">
        <f ca="1">IF(ISBLANK(INDIRECT(ADDRESS(B49*2+2,3))),"",INDIRECT(ADDRESS(B49*2+2,3)))</f>
        <v>Помазан Геннадий</v>
      </c>
      <c r="D49" s="100"/>
      <c r="E49" s="101"/>
      <c r="F49" s="26">
        <v>12</v>
      </c>
      <c r="G49" s="27">
        <v>13</v>
      </c>
      <c r="H49" s="102" t="str">
        <f ca="1">IF(ISBLANK(INDIRECT(ADDRESS(K49*2+2,3))),"",INDIRECT(ADDRESS(K49*2+2,3)))</f>
        <v>Субанов Руслан</v>
      </c>
      <c r="I49" s="100"/>
      <c r="J49" s="100"/>
      <c r="K49" s="5">
        <v>4</v>
      </c>
      <c r="L49" s="35" t="s">
        <v>11</v>
      </c>
      <c r="M49" s="29">
        <v>3</v>
      </c>
    </row>
    <row r="50" spans="2:13" ht="30" customHeight="1" x14ac:dyDescent="0.25"/>
    <row r="51" spans="2:13" ht="30" customHeight="1" thickBot="1" x14ac:dyDescent="0.3">
      <c r="B51" s="99" t="s">
        <v>13</v>
      </c>
      <c r="C51" s="99"/>
      <c r="D51" s="99"/>
      <c r="E51" s="99"/>
      <c r="F51" s="99"/>
      <c r="G51" s="99"/>
      <c r="H51" s="99"/>
      <c r="I51" s="99"/>
      <c r="J51" s="99"/>
      <c r="K51" s="99"/>
    </row>
    <row r="52" spans="2:13" ht="30" customHeight="1" thickBot="1" x14ac:dyDescent="0.3">
      <c r="B52" s="5">
        <v>5</v>
      </c>
      <c r="C52" s="100" t="str">
        <f ca="1">IF(ISBLANK(INDIRECT(ADDRESS(B52*2+2,3))),"",INDIRECT(ADDRESS(B52*2+2,3)))</f>
        <v>Шубин Андрей</v>
      </c>
      <c r="D52" s="100"/>
      <c r="E52" s="101"/>
      <c r="F52" s="26">
        <v>6</v>
      </c>
      <c r="G52" s="27">
        <v>13</v>
      </c>
      <c r="H52" s="102" t="str">
        <f ca="1">IF(ISBLANK(INDIRECT(ADDRESS(K52*2+2,3))),"",INDIRECT(ADDRESS(K52*2+2,3)))</f>
        <v>Помазан Геннадий</v>
      </c>
      <c r="I52" s="100"/>
      <c r="J52" s="100"/>
      <c r="K52" s="5">
        <v>3</v>
      </c>
      <c r="L52" s="35" t="s">
        <v>11</v>
      </c>
      <c r="M52" s="29">
        <v>4</v>
      </c>
    </row>
    <row r="53" spans="2:13" ht="30" customHeight="1" thickBot="1" x14ac:dyDescent="0.3">
      <c r="B53" s="5">
        <v>6</v>
      </c>
      <c r="C53" s="100" t="str">
        <f ca="1">IF(ISBLANK(INDIRECT(ADDRESS(B53*2+2,3))),"",INDIRECT(ADDRESS(B53*2+2,3)))</f>
        <v>Дорошенко Анатолий</v>
      </c>
      <c r="D53" s="100"/>
      <c r="E53" s="101"/>
      <c r="F53" s="26">
        <v>13</v>
      </c>
      <c r="G53" s="27">
        <v>9</v>
      </c>
      <c r="H53" s="102" t="str">
        <f ca="1">IF(ISBLANK(INDIRECT(ADDRESS(K53*2+2,3))),"",INDIRECT(ADDRESS(K53*2+2,3)))</f>
        <v>Нечаев Максим</v>
      </c>
      <c r="I53" s="100"/>
      <c r="J53" s="100"/>
      <c r="K53" s="5">
        <v>2</v>
      </c>
      <c r="L53" s="35" t="s">
        <v>11</v>
      </c>
      <c r="M53" s="29">
        <v>5</v>
      </c>
    </row>
    <row r="54" spans="2:13" ht="30" customHeight="1" thickBot="1" x14ac:dyDescent="0.3">
      <c r="B54" s="5">
        <v>7</v>
      </c>
      <c r="C54" s="100" t="str">
        <f ca="1">IF(ISBLANK(INDIRECT(ADDRESS(B54*2+2,3))),"",INDIRECT(ADDRESS(B54*2+2,3)))</f>
        <v>Майсов Антон</v>
      </c>
      <c r="D54" s="100"/>
      <c r="E54" s="101"/>
      <c r="F54" s="26">
        <v>10</v>
      </c>
      <c r="G54" s="27">
        <v>13</v>
      </c>
      <c r="H54" s="102" t="str">
        <f ca="1">IF(ISBLANK(INDIRECT(ADDRESS(K54*2+2,3))),"",INDIRECT(ADDRESS(K54*2+2,3)))</f>
        <v>Капран-Индаяти Сергей</v>
      </c>
      <c r="I54" s="100"/>
      <c r="J54" s="100"/>
      <c r="K54" s="5">
        <v>1</v>
      </c>
      <c r="L54" s="35" t="s">
        <v>11</v>
      </c>
      <c r="M54" s="29">
        <v>6</v>
      </c>
    </row>
    <row r="57" spans="2:13" ht="21" x14ac:dyDescent="0.35">
      <c r="B57" s="132" t="s">
        <v>58</v>
      </c>
      <c r="C57" s="132"/>
      <c r="D57" s="132"/>
      <c r="E57" s="132"/>
      <c r="F57" s="132"/>
      <c r="G57" s="132"/>
      <c r="H57" s="133"/>
    </row>
    <row r="58" spans="2:13" ht="21" x14ac:dyDescent="0.35">
      <c r="B58" s="132"/>
      <c r="C58" s="132"/>
      <c r="D58" s="132"/>
      <c r="E58" s="132"/>
      <c r="F58" s="132"/>
      <c r="G58" s="132"/>
      <c r="H58" s="133"/>
    </row>
    <row r="59" spans="2:13" ht="21" x14ac:dyDescent="0.35">
      <c r="B59" s="132"/>
      <c r="C59" s="132"/>
      <c r="D59" s="132"/>
      <c r="E59" s="132"/>
      <c r="F59" s="132"/>
      <c r="G59" s="132"/>
      <c r="H59" s="133"/>
    </row>
    <row r="60" spans="2:13" ht="21" x14ac:dyDescent="0.35">
      <c r="B60" s="132" t="s">
        <v>59</v>
      </c>
      <c r="C60" s="132"/>
      <c r="D60" s="132"/>
      <c r="E60" s="132"/>
      <c r="F60" s="132"/>
      <c r="G60" s="132"/>
      <c r="H60" s="133"/>
    </row>
  </sheetData>
  <mergeCells count="79">
    <mergeCell ref="O4:O5"/>
    <mergeCell ref="C3:E3"/>
    <mergeCell ref="B4:B5"/>
    <mergeCell ref="C4:E5"/>
    <mergeCell ref="M4:M5"/>
    <mergeCell ref="B1:O1"/>
    <mergeCell ref="B6:B7"/>
    <mergeCell ref="C6:E7"/>
    <mergeCell ref="M6:M7"/>
    <mergeCell ref="O6:O7"/>
    <mergeCell ref="B8:B9"/>
    <mergeCell ref="C8:E9"/>
    <mergeCell ref="M8:M9"/>
    <mergeCell ref="O8:O9"/>
    <mergeCell ref="B10:B11"/>
    <mergeCell ref="C10:E11"/>
    <mergeCell ref="M10:M11"/>
    <mergeCell ref="O10:O11"/>
    <mergeCell ref="B12:B13"/>
    <mergeCell ref="C12:E13"/>
    <mergeCell ref="M12:M13"/>
    <mergeCell ref="O12:O13"/>
    <mergeCell ref="B14:B15"/>
    <mergeCell ref="C14:E15"/>
    <mergeCell ref="M14:M15"/>
    <mergeCell ref="O14:O15"/>
    <mergeCell ref="B21:K21"/>
    <mergeCell ref="M16:M17"/>
    <mergeCell ref="O16:O17"/>
    <mergeCell ref="H27:J27"/>
    <mergeCell ref="H28:J28"/>
    <mergeCell ref="C29:E29"/>
    <mergeCell ref="H29:J29"/>
    <mergeCell ref="C22:E22"/>
    <mergeCell ref="H22:J22"/>
    <mergeCell ref="C23:E23"/>
    <mergeCell ref="H23:J23"/>
    <mergeCell ref="C39:E39"/>
    <mergeCell ref="H39:J39"/>
    <mergeCell ref="B16:B17"/>
    <mergeCell ref="C16:E17"/>
    <mergeCell ref="C24:E24"/>
    <mergeCell ref="H24:J24"/>
    <mergeCell ref="B26:K26"/>
    <mergeCell ref="C28:E28"/>
    <mergeCell ref="C38:E38"/>
    <mergeCell ref="H38:J38"/>
    <mergeCell ref="C34:E34"/>
    <mergeCell ref="H34:J34"/>
    <mergeCell ref="B31:K31"/>
    <mergeCell ref="C32:E32"/>
    <mergeCell ref="H32:J32"/>
    <mergeCell ref="C27:E27"/>
    <mergeCell ref="C33:E33"/>
    <mergeCell ref="H33:J33"/>
    <mergeCell ref="B36:K36"/>
    <mergeCell ref="C37:E37"/>
    <mergeCell ref="H37:J37"/>
    <mergeCell ref="B41:K41"/>
    <mergeCell ref="C42:E42"/>
    <mergeCell ref="H42:J42"/>
    <mergeCell ref="C43:E43"/>
    <mergeCell ref="H43:J43"/>
    <mergeCell ref="C44:E44"/>
    <mergeCell ref="H44:J44"/>
    <mergeCell ref="B46:K46"/>
    <mergeCell ref="C47:E47"/>
    <mergeCell ref="H47:J47"/>
    <mergeCell ref="C48:E48"/>
    <mergeCell ref="H48:J48"/>
    <mergeCell ref="C49:E49"/>
    <mergeCell ref="H49:J49"/>
    <mergeCell ref="B51:K51"/>
    <mergeCell ref="C52:E52"/>
    <mergeCell ref="H52:J52"/>
    <mergeCell ref="C53:E53"/>
    <mergeCell ref="H53:J53"/>
    <mergeCell ref="C54:E54"/>
    <mergeCell ref="H54:J54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53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opLeftCell="A10" workbookViewId="0">
      <selection activeCell="B27" sqref="B27:H30"/>
    </sheetView>
  </sheetViews>
  <sheetFormatPr defaultRowHeight="15" customHeight="1" x14ac:dyDescent="0.25"/>
  <cols>
    <col min="1" max="1" width="9.140625" style="76"/>
    <col min="2" max="15" width="9.140625" style="29" customWidth="1"/>
    <col min="16" max="16384" width="9.140625" style="29"/>
  </cols>
  <sheetData>
    <row r="1" spans="2:15" ht="59.25" customHeight="1" x14ac:dyDescent="0.25">
      <c r="B1" s="126" t="s">
        <v>53</v>
      </c>
      <c r="C1" s="126"/>
      <c r="D1" s="126"/>
      <c r="E1" s="126"/>
      <c r="F1" s="126"/>
      <c r="G1" s="126"/>
      <c r="H1" s="126"/>
      <c r="I1" s="126"/>
      <c r="J1" s="126"/>
      <c r="K1" s="126"/>
      <c r="L1" s="129"/>
      <c r="M1" s="129"/>
      <c r="N1" s="129"/>
      <c r="O1" s="129"/>
    </row>
    <row r="2" spans="2:15" ht="15" customHeight="1" x14ac:dyDescent="0.25">
      <c r="C2" s="36"/>
    </row>
    <row r="3" spans="2:15" ht="15" customHeight="1" x14ac:dyDescent="0.25">
      <c r="C3" s="36"/>
    </row>
    <row r="4" spans="2:15" ht="15" customHeight="1" x14ac:dyDescent="0.25">
      <c r="B4" s="120" t="s">
        <v>34</v>
      </c>
      <c r="C4" s="121"/>
      <c r="D4" s="28">
        <v>11</v>
      </c>
      <c r="E4" s="30"/>
    </row>
    <row r="5" spans="2:15" ht="15" customHeight="1" x14ac:dyDescent="0.25">
      <c r="C5" s="36"/>
      <c r="E5" s="31"/>
    </row>
    <row r="6" spans="2:15" ht="15" customHeight="1" x14ac:dyDescent="0.25">
      <c r="B6" s="35" t="s">
        <v>11</v>
      </c>
      <c r="C6" s="36">
        <v>2</v>
      </c>
      <c r="E6" s="32"/>
      <c r="F6" s="122" t="str">
        <f>IF(ISBLANK(D4),"",IF(D4&gt;D8,B4,B8))</f>
        <v>Соколовский Павел</v>
      </c>
      <c r="G6" s="121"/>
      <c r="H6" s="28">
        <v>11</v>
      </c>
      <c r="I6" s="30"/>
    </row>
    <row r="7" spans="2:15" ht="15" customHeight="1" x14ac:dyDescent="0.25">
      <c r="C7" s="36"/>
      <c r="E7" s="32"/>
      <c r="I7" s="31"/>
    </row>
    <row r="8" spans="2:15" ht="15" customHeight="1" x14ac:dyDescent="0.25">
      <c r="B8" s="120" t="s">
        <v>25</v>
      </c>
      <c r="C8" s="121"/>
      <c r="D8" s="28">
        <v>13</v>
      </c>
      <c r="E8" s="33"/>
      <c r="I8" s="32"/>
    </row>
    <row r="9" spans="2:15" ht="15" customHeight="1" x14ac:dyDescent="0.25">
      <c r="C9" s="36"/>
      <c r="I9" s="32"/>
    </row>
    <row r="10" spans="2:15" ht="15" customHeight="1" x14ac:dyDescent="0.25">
      <c r="C10" s="36"/>
      <c r="G10" s="35" t="s">
        <v>11</v>
      </c>
      <c r="H10" s="36">
        <v>1</v>
      </c>
      <c r="I10" s="32"/>
      <c r="J10" s="122" t="str">
        <f>IF(ISBLANK(H6),"",IF(H6&gt;H14,F6,F14))</f>
        <v>Помазан Геннадий</v>
      </c>
      <c r="K10" s="120"/>
      <c r="L10" s="63"/>
      <c r="M10" s="34"/>
    </row>
    <row r="11" spans="2:15" ht="15" customHeight="1" x14ac:dyDescent="0.25">
      <c r="C11" s="36"/>
      <c r="I11" s="32"/>
      <c r="M11" s="34"/>
    </row>
    <row r="12" spans="2:15" ht="15" customHeight="1" x14ac:dyDescent="0.25">
      <c r="B12" s="120" t="s">
        <v>33</v>
      </c>
      <c r="C12" s="121"/>
      <c r="D12" s="28">
        <v>13</v>
      </c>
      <c r="E12" s="30"/>
      <c r="I12" s="32"/>
      <c r="M12" s="34"/>
    </row>
    <row r="13" spans="2:15" ht="15" customHeight="1" x14ac:dyDescent="0.25">
      <c r="C13" s="36"/>
      <c r="E13" s="31"/>
      <c r="I13" s="32"/>
      <c r="M13" s="34"/>
    </row>
    <row r="14" spans="2:15" ht="15" customHeight="1" x14ac:dyDescent="0.25">
      <c r="B14" s="35" t="s">
        <v>11</v>
      </c>
      <c r="C14" s="36">
        <v>3</v>
      </c>
      <c r="E14" s="32"/>
      <c r="F14" s="122" t="str">
        <f>IF(ISBLANK(D12),"",IF(D12&gt;D16,B12,B16))</f>
        <v>Помазан Геннадий</v>
      </c>
      <c r="G14" s="121"/>
      <c r="H14" s="28">
        <v>13</v>
      </c>
      <c r="I14" s="33"/>
      <c r="M14" s="34"/>
    </row>
    <row r="15" spans="2:15" ht="15" customHeight="1" x14ac:dyDescent="0.25">
      <c r="E15" s="32"/>
      <c r="M15" s="34"/>
    </row>
    <row r="16" spans="2:15" ht="15" customHeight="1" x14ac:dyDescent="0.25">
      <c r="B16" s="120" t="s">
        <v>20</v>
      </c>
      <c r="C16" s="121"/>
      <c r="D16" s="28">
        <v>11</v>
      </c>
      <c r="E16" s="33"/>
      <c r="M16" s="34"/>
    </row>
    <row r="17" spans="2:13" ht="15" customHeight="1" x14ac:dyDescent="0.25">
      <c r="M17" s="34"/>
    </row>
    <row r="20" spans="2:13" ht="15" customHeight="1" x14ac:dyDescent="0.25">
      <c r="B20" s="120" t="str">
        <f>IF(ISBLANK(D4),"",IF(D4&gt;D8,B8,B4))</f>
        <v>Субанов Руслан</v>
      </c>
      <c r="C20" s="121"/>
      <c r="D20" s="28">
        <v>13</v>
      </c>
      <c r="E20" s="30"/>
      <c r="F20" s="123"/>
      <c r="G20" s="123"/>
    </row>
    <row r="21" spans="2:13" ht="15" customHeight="1" x14ac:dyDescent="0.25">
      <c r="E21" s="31"/>
    </row>
    <row r="22" spans="2:13" ht="15" customHeight="1" x14ac:dyDescent="0.25">
      <c r="C22" s="35" t="s">
        <v>11</v>
      </c>
      <c r="D22" s="36">
        <v>3</v>
      </c>
      <c r="E22" s="32"/>
      <c r="F22" s="122" t="str">
        <f>IF(ISBLANK(D20),"",IF(D20&gt;D24,B20,B24))</f>
        <v>Субанов Руслан</v>
      </c>
      <c r="G22" s="120"/>
    </row>
    <row r="23" spans="2:13" ht="15" customHeight="1" x14ac:dyDescent="0.25">
      <c r="E23" s="32"/>
    </row>
    <row r="24" spans="2:13" ht="15" customHeight="1" x14ac:dyDescent="0.25">
      <c r="B24" s="120" t="str">
        <f>IF(ISBLANK(D12),"",IF(D12&gt;D16,B16,B12))</f>
        <v>Борисенко Дмитрий</v>
      </c>
      <c r="C24" s="121"/>
      <c r="D24" s="28">
        <v>12</v>
      </c>
      <c r="E24" s="33"/>
    </row>
    <row r="27" spans="2:13" ht="15" customHeight="1" x14ac:dyDescent="0.35">
      <c r="B27" s="132" t="s">
        <v>58</v>
      </c>
      <c r="C27" s="132"/>
      <c r="D27" s="132"/>
      <c r="E27" s="132"/>
      <c r="F27" s="132"/>
      <c r="G27" s="132"/>
      <c r="H27" s="133"/>
    </row>
    <row r="28" spans="2:13" ht="15" customHeight="1" x14ac:dyDescent="0.35">
      <c r="B28" s="132"/>
      <c r="C28" s="132"/>
      <c r="D28" s="132"/>
      <c r="E28" s="132"/>
      <c r="F28" s="132"/>
      <c r="G28" s="132"/>
      <c r="H28" s="133"/>
    </row>
    <row r="29" spans="2:13" ht="15" customHeight="1" x14ac:dyDescent="0.35">
      <c r="B29" s="132"/>
      <c r="C29" s="132"/>
      <c r="D29" s="132"/>
      <c r="E29" s="132"/>
      <c r="F29" s="132"/>
      <c r="G29" s="132"/>
      <c r="H29" s="133"/>
    </row>
    <row r="30" spans="2:13" ht="15" customHeight="1" x14ac:dyDescent="0.35">
      <c r="B30" s="132" t="s">
        <v>59</v>
      </c>
      <c r="C30" s="132"/>
      <c r="D30" s="132"/>
      <c r="E30" s="132"/>
      <c r="F30" s="132"/>
      <c r="G30" s="132"/>
      <c r="H30" s="133"/>
    </row>
  </sheetData>
  <mergeCells count="12">
    <mergeCell ref="F14:G14"/>
    <mergeCell ref="B16:C16"/>
    <mergeCell ref="B20:C20"/>
    <mergeCell ref="F20:G20"/>
    <mergeCell ref="F22:G22"/>
    <mergeCell ref="B24:C24"/>
    <mergeCell ref="B1:K1"/>
    <mergeCell ref="B4:C4"/>
    <mergeCell ref="F6:G6"/>
    <mergeCell ref="B8:C8"/>
    <mergeCell ref="J10:K10"/>
    <mergeCell ref="B12:C1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opLeftCell="A13" workbookViewId="0">
      <selection activeCell="B1" sqref="B1:K1"/>
    </sheetView>
  </sheetViews>
  <sheetFormatPr defaultRowHeight="15" customHeight="1" x14ac:dyDescent="0.25"/>
  <cols>
    <col min="1" max="1" width="9.140625" style="76"/>
    <col min="2" max="15" width="9.140625" style="29" customWidth="1"/>
    <col min="16" max="16384" width="9.140625" style="29"/>
  </cols>
  <sheetData>
    <row r="1" spans="2:15" ht="59.25" customHeight="1" x14ac:dyDescent="0.25">
      <c r="B1" s="126" t="s">
        <v>54</v>
      </c>
      <c r="C1" s="126"/>
      <c r="D1" s="126"/>
      <c r="E1" s="126"/>
      <c r="F1" s="126"/>
      <c r="G1" s="126"/>
      <c r="H1" s="126"/>
      <c r="I1" s="126"/>
      <c r="J1" s="126"/>
      <c r="K1" s="126"/>
      <c r="L1" s="129"/>
      <c r="M1" s="129"/>
      <c r="N1" s="129"/>
      <c r="O1" s="129"/>
    </row>
    <row r="2" spans="2:15" ht="15" customHeight="1" x14ac:dyDescent="0.25">
      <c r="C2" s="36"/>
    </row>
    <row r="3" spans="2:15" ht="15" customHeight="1" x14ac:dyDescent="0.25">
      <c r="C3" s="36"/>
    </row>
    <row r="4" spans="2:15" ht="15" customHeight="1" x14ac:dyDescent="0.25">
      <c r="B4" s="120" t="s">
        <v>35</v>
      </c>
      <c r="C4" s="121"/>
      <c r="D4" s="28">
        <v>13</v>
      </c>
      <c r="E4" s="30"/>
    </row>
    <row r="5" spans="2:15" ht="15" customHeight="1" x14ac:dyDescent="0.25">
      <c r="C5" s="36"/>
      <c r="E5" s="31"/>
    </row>
    <row r="6" spans="2:15" ht="15" customHeight="1" x14ac:dyDescent="0.25">
      <c r="B6" s="35" t="s">
        <v>11</v>
      </c>
      <c r="C6" s="36">
        <v>4</v>
      </c>
      <c r="E6" s="32"/>
      <c r="F6" s="122" t="str">
        <f>IF(ISBLANK(D4),"",IF(D4&gt;D8,B4,B8))</f>
        <v>Шубин Андрей</v>
      </c>
      <c r="G6" s="121"/>
      <c r="H6" s="28">
        <v>11</v>
      </c>
      <c r="I6" s="30"/>
    </row>
    <row r="7" spans="2:15" ht="15" customHeight="1" x14ac:dyDescent="0.25">
      <c r="C7" s="36"/>
      <c r="E7" s="32"/>
      <c r="I7" s="31"/>
    </row>
    <row r="8" spans="2:15" ht="15" customHeight="1" x14ac:dyDescent="0.25">
      <c r="B8" s="120" t="s">
        <v>21</v>
      </c>
      <c r="C8" s="121"/>
      <c r="D8" s="28">
        <v>10</v>
      </c>
      <c r="E8" s="33"/>
      <c r="I8" s="32"/>
    </row>
    <row r="9" spans="2:15" ht="15" customHeight="1" x14ac:dyDescent="0.25">
      <c r="C9" s="36"/>
      <c r="I9" s="32"/>
    </row>
    <row r="10" spans="2:15" ht="15" customHeight="1" x14ac:dyDescent="0.25">
      <c r="C10" s="36"/>
      <c r="G10" s="35" t="s">
        <v>11</v>
      </c>
      <c r="H10" s="36">
        <v>5</v>
      </c>
      <c r="I10" s="32"/>
      <c r="J10" s="122" t="str">
        <f>IF(ISBLANK(H6),"",IF(H6&gt;H14,F6,F14))</f>
        <v>Капран-Индаяти Сергей</v>
      </c>
      <c r="K10" s="120"/>
      <c r="L10" s="63"/>
      <c r="M10" s="34"/>
    </row>
    <row r="11" spans="2:15" ht="15" customHeight="1" x14ac:dyDescent="0.25">
      <c r="C11" s="36"/>
      <c r="I11" s="32"/>
      <c r="M11" s="34"/>
    </row>
    <row r="12" spans="2:15" ht="15" customHeight="1" x14ac:dyDescent="0.25">
      <c r="B12" s="120" t="s">
        <v>31</v>
      </c>
      <c r="C12" s="121"/>
      <c r="D12" s="28">
        <v>13</v>
      </c>
      <c r="E12" s="30"/>
      <c r="I12" s="32"/>
      <c r="M12" s="34"/>
    </row>
    <row r="13" spans="2:15" ht="15" customHeight="1" x14ac:dyDescent="0.25">
      <c r="C13" s="36"/>
      <c r="E13" s="31"/>
      <c r="I13" s="32"/>
      <c r="M13" s="34"/>
    </row>
    <row r="14" spans="2:15" ht="15" customHeight="1" x14ac:dyDescent="0.25">
      <c r="B14" s="35" t="s">
        <v>11</v>
      </c>
      <c r="C14" s="36">
        <v>5</v>
      </c>
      <c r="E14" s="32"/>
      <c r="F14" s="122" t="str">
        <f>IF(ISBLANK(D12),"",IF(D12&gt;D16,B12,B16))</f>
        <v>Капран-Индаяти Сергей</v>
      </c>
      <c r="G14" s="121"/>
      <c r="H14" s="28">
        <v>13</v>
      </c>
      <c r="I14" s="33"/>
      <c r="M14" s="34"/>
    </row>
    <row r="15" spans="2:15" ht="15" customHeight="1" x14ac:dyDescent="0.25">
      <c r="E15" s="32"/>
      <c r="M15" s="34"/>
    </row>
    <row r="16" spans="2:15" ht="15" customHeight="1" x14ac:dyDescent="0.25">
      <c r="B16" s="120" t="s">
        <v>22</v>
      </c>
      <c r="C16" s="121"/>
      <c r="D16" s="28">
        <v>2</v>
      </c>
      <c r="E16" s="33"/>
      <c r="M16" s="34"/>
    </row>
    <row r="17" spans="2:13" ht="15" customHeight="1" x14ac:dyDescent="0.25">
      <c r="M17" s="34"/>
    </row>
    <row r="20" spans="2:13" ht="15" customHeight="1" x14ac:dyDescent="0.25">
      <c r="B20" s="120" t="str">
        <f>IF(ISBLANK(D4),"",IF(D4&gt;D8,B8,B4))</f>
        <v>Коржов Владимир</v>
      </c>
      <c r="C20" s="121"/>
      <c r="D20" s="28">
        <v>13</v>
      </c>
      <c r="E20" s="30"/>
      <c r="F20" s="123"/>
      <c r="G20" s="123"/>
    </row>
    <row r="21" spans="2:13" ht="15" customHeight="1" x14ac:dyDescent="0.25">
      <c r="E21" s="31"/>
    </row>
    <row r="22" spans="2:13" ht="15" customHeight="1" x14ac:dyDescent="0.25">
      <c r="C22" s="35" t="s">
        <v>11</v>
      </c>
      <c r="D22" s="36">
        <v>7</v>
      </c>
      <c r="E22" s="32"/>
      <c r="F22" s="122" t="str">
        <f>IF(ISBLANK(D20),"",IF(D20&gt;D24,B20,B24))</f>
        <v>Коржов Владимир</v>
      </c>
      <c r="G22" s="120"/>
    </row>
    <row r="23" spans="2:13" ht="15" customHeight="1" x14ac:dyDescent="0.25">
      <c r="E23" s="32"/>
    </row>
    <row r="24" spans="2:13" ht="15" customHeight="1" x14ac:dyDescent="0.25">
      <c r="B24" s="120" t="str">
        <f>IF(ISBLANK(D12),"",IF(D12&gt;D16,B16,B12))</f>
        <v>Шустваль Евгений</v>
      </c>
      <c r="C24" s="121"/>
      <c r="D24" s="28">
        <v>9</v>
      </c>
      <c r="E24" s="33"/>
    </row>
    <row r="27" spans="2:13" ht="15" customHeight="1" x14ac:dyDescent="0.35">
      <c r="B27" s="132" t="s">
        <v>58</v>
      </c>
      <c r="C27" s="132"/>
      <c r="D27" s="132"/>
      <c r="E27" s="132"/>
      <c r="F27" s="132"/>
      <c r="G27" s="132"/>
      <c r="H27" s="133"/>
    </row>
    <row r="28" spans="2:13" ht="15" customHeight="1" x14ac:dyDescent="0.35">
      <c r="B28" s="132"/>
      <c r="C28" s="132"/>
      <c r="D28" s="132"/>
      <c r="E28" s="132"/>
      <c r="F28" s="132"/>
      <c r="G28" s="132"/>
      <c r="H28" s="133"/>
    </row>
    <row r="29" spans="2:13" ht="15" customHeight="1" x14ac:dyDescent="0.35">
      <c r="B29" s="132"/>
      <c r="C29" s="132"/>
      <c r="D29" s="132"/>
      <c r="E29" s="132"/>
      <c r="F29" s="132"/>
      <c r="G29" s="132"/>
      <c r="H29" s="133"/>
    </row>
    <row r="30" spans="2:13" ht="15" customHeight="1" x14ac:dyDescent="0.35">
      <c r="B30" s="132" t="s">
        <v>59</v>
      </c>
      <c r="C30" s="132"/>
      <c r="D30" s="132"/>
      <c r="E30" s="132"/>
      <c r="F30" s="132"/>
      <c r="G30" s="132"/>
      <c r="H30" s="133"/>
    </row>
  </sheetData>
  <mergeCells count="12">
    <mergeCell ref="F14:G14"/>
    <mergeCell ref="B16:C16"/>
    <mergeCell ref="B20:C20"/>
    <mergeCell ref="F20:G20"/>
    <mergeCell ref="F22:G22"/>
    <mergeCell ref="B24:C24"/>
    <mergeCell ref="B1:K1"/>
    <mergeCell ref="B4:C4"/>
    <mergeCell ref="F6:G6"/>
    <mergeCell ref="B8:C8"/>
    <mergeCell ref="J10:K10"/>
    <mergeCell ref="B12:C1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4"/>
  <sheetViews>
    <sheetView topLeftCell="A13" zoomScaleNormal="100" workbookViewId="0">
      <selection activeCell="B23" sqref="B23"/>
    </sheetView>
  </sheetViews>
  <sheetFormatPr defaultRowHeight="15" x14ac:dyDescent="0.25"/>
  <cols>
    <col min="2" max="2" width="21.140625" customWidth="1"/>
    <col min="3" max="3" width="22.42578125" customWidth="1"/>
    <col min="4" max="4" width="36.7109375" customWidth="1"/>
    <col min="6" max="6" width="9.140625" customWidth="1"/>
  </cols>
  <sheetData>
    <row r="1" spans="1:11" ht="54" customHeight="1" x14ac:dyDescent="0.35">
      <c r="A1" s="134" t="s">
        <v>60</v>
      </c>
      <c r="B1" s="134"/>
      <c r="C1" s="134"/>
      <c r="D1" s="134"/>
      <c r="E1" s="135"/>
      <c r="F1" s="135"/>
      <c r="G1" s="135"/>
      <c r="H1" s="135"/>
      <c r="I1" s="135"/>
      <c r="J1" s="135"/>
      <c r="K1" s="135"/>
    </row>
    <row r="2" spans="1:11" ht="102.75" customHeight="1" x14ac:dyDescent="0.25">
      <c r="A2" s="136" t="s">
        <v>67</v>
      </c>
      <c r="B2" s="136"/>
      <c r="C2" s="136"/>
      <c r="D2" s="136"/>
      <c r="E2" s="137"/>
      <c r="F2" s="137"/>
      <c r="G2" s="138"/>
      <c r="H2" s="138"/>
      <c r="I2" s="138"/>
      <c r="J2" s="138"/>
    </row>
    <row r="3" spans="1:11" ht="15.75" thickBot="1" x14ac:dyDescent="0.3"/>
    <row r="4" spans="1:11" x14ac:dyDescent="0.25">
      <c r="A4" s="139" t="s">
        <v>61</v>
      </c>
      <c r="B4" s="140" t="s">
        <v>62</v>
      </c>
      <c r="C4" s="141" t="s">
        <v>63</v>
      </c>
      <c r="D4" s="142" t="s">
        <v>64</v>
      </c>
    </row>
    <row r="5" spans="1:11" x14ac:dyDescent="0.25">
      <c r="A5" s="143">
        <v>1</v>
      </c>
      <c r="B5" s="144" t="s">
        <v>33</v>
      </c>
      <c r="C5" s="145" t="s">
        <v>65</v>
      </c>
      <c r="D5" s="146">
        <v>15</v>
      </c>
      <c r="F5" s="153"/>
      <c r="G5" s="153"/>
      <c r="H5" s="153"/>
      <c r="I5" s="153"/>
    </row>
    <row r="6" spans="1:11" x14ac:dyDescent="0.25">
      <c r="A6" s="143">
        <v>2</v>
      </c>
      <c r="B6" s="152" t="s">
        <v>25</v>
      </c>
      <c r="C6" s="145" t="s">
        <v>65</v>
      </c>
      <c r="D6" s="146">
        <v>13</v>
      </c>
      <c r="F6" s="154"/>
      <c r="G6" s="153"/>
      <c r="H6" s="153"/>
      <c r="I6" s="153"/>
    </row>
    <row r="7" spans="1:11" x14ac:dyDescent="0.25">
      <c r="A7" s="143">
        <v>3</v>
      </c>
      <c r="B7" s="144" t="s">
        <v>34</v>
      </c>
      <c r="C7" s="145" t="s">
        <v>65</v>
      </c>
      <c r="D7" s="146">
        <v>11</v>
      </c>
      <c r="F7" s="153"/>
      <c r="G7" s="153"/>
      <c r="H7" s="153"/>
      <c r="I7" s="153"/>
    </row>
    <row r="8" spans="1:11" x14ac:dyDescent="0.25">
      <c r="A8" s="143">
        <v>4</v>
      </c>
      <c r="B8" s="144" t="s">
        <v>20</v>
      </c>
      <c r="C8" s="145" t="s">
        <v>65</v>
      </c>
      <c r="D8" s="146">
        <v>10</v>
      </c>
      <c r="F8" s="153"/>
      <c r="G8" s="153"/>
      <c r="H8" s="153"/>
      <c r="I8" s="153"/>
    </row>
    <row r="9" spans="1:11" x14ac:dyDescent="0.25">
      <c r="A9" s="143">
        <v>5</v>
      </c>
      <c r="B9" s="147" t="s">
        <v>31</v>
      </c>
      <c r="C9" s="145" t="s">
        <v>66</v>
      </c>
      <c r="D9" s="146">
        <v>9</v>
      </c>
      <c r="F9" s="153"/>
      <c r="G9" s="153"/>
      <c r="H9" s="153"/>
      <c r="I9" s="153"/>
    </row>
    <row r="10" spans="1:11" x14ac:dyDescent="0.25">
      <c r="A10" s="143">
        <v>6</v>
      </c>
      <c r="B10" s="144" t="s">
        <v>35</v>
      </c>
      <c r="C10" s="145" t="s">
        <v>66</v>
      </c>
      <c r="D10" s="146">
        <v>8</v>
      </c>
      <c r="F10" s="153"/>
      <c r="G10" s="153"/>
      <c r="H10" s="153"/>
      <c r="I10" s="153"/>
    </row>
    <row r="11" spans="1:11" x14ac:dyDescent="0.25">
      <c r="A11" s="143">
        <v>7</v>
      </c>
      <c r="B11" s="144" t="s">
        <v>21</v>
      </c>
      <c r="C11" s="145" t="s">
        <v>65</v>
      </c>
      <c r="D11" s="146">
        <v>7</v>
      </c>
      <c r="F11" s="153"/>
      <c r="G11" s="153"/>
      <c r="H11" s="153"/>
      <c r="I11" s="153"/>
    </row>
    <row r="12" spans="1:11" x14ac:dyDescent="0.25">
      <c r="A12" s="143">
        <v>8</v>
      </c>
      <c r="B12" s="144" t="s">
        <v>22</v>
      </c>
      <c r="C12" s="145" t="s">
        <v>65</v>
      </c>
      <c r="D12" s="146">
        <v>6</v>
      </c>
      <c r="F12" s="153"/>
      <c r="G12" s="153"/>
      <c r="H12" s="153"/>
      <c r="I12" s="153"/>
    </row>
    <row r="13" spans="1:11" x14ac:dyDescent="0.25">
      <c r="A13" s="143">
        <v>9</v>
      </c>
      <c r="B13" s="144" t="s">
        <v>24</v>
      </c>
      <c r="C13" s="145" t="s">
        <v>65</v>
      </c>
      <c r="D13" s="146">
        <v>5</v>
      </c>
      <c r="F13" s="153"/>
      <c r="G13" s="153"/>
      <c r="H13" s="153"/>
      <c r="I13" s="153"/>
    </row>
    <row r="14" spans="1:11" x14ac:dyDescent="0.25">
      <c r="A14" s="143">
        <v>10</v>
      </c>
      <c r="B14" s="144" t="s">
        <v>32</v>
      </c>
      <c r="C14" s="145" t="s">
        <v>65</v>
      </c>
      <c r="D14" s="146">
        <v>4</v>
      </c>
      <c r="F14" s="153"/>
      <c r="G14" s="153"/>
      <c r="H14" s="153"/>
      <c r="I14" s="153"/>
    </row>
    <row r="15" spans="1:11" x14ac:dyDescent="0.25">
      <c r="A15" s="143">
        <v>11</v>
      </c>
      <c r="B15" s="144" t="s">
        <v>23</v>
      </c>
      <c r="C15" s="145" t="s">
        <v>65</v>
      </c>
      <c r="D15" s="146">
        <v>3</v>
      </c>
      <c r="F15" s="153"/>
      <c r="G15" s="153"/>
      <c r="H15" s="153"/>
      <c r="I15" s="153"/>
    </row>
    <row r="16" spans="1:11" x14ac:dyDescent="0.25">
      <c r="A16" s="143">
        <v>12</v>
      </c>
      <c r="B16" s="144" t="s">
        <v>37</v>
      </c>
      <c r="C16" s="145" t="s">
        <v>68</v>
      </c>
      <c r="D16" s="146">
        <v>2</v>
      </c>
      <c r="F16" s="153"/>
      <c r="G16" s="153"/>
      <c r="H16" s="153"/>
      <c r="I16" s="153"/>
    </row>
    <row r="17" spans="1:9" x14ac:dyDescent="0.25">
      <c r="A17" s="143">
        <v>13</v>
      </c>
      <c r="B17" s="144" t="s">
        <v>19</v>
      </c>
      <c r="C17" s="145" t="s">
        <v>65</v>
      </c>
      <c r="D17" s="146">
        <v>1</v>
      </c>
      <c r="F17" s="153"/>
      <c r="G17" s="153"/>
      <c r="H17" s="153"/>
      <c r="I17" s="153"/>
    </row>
    <row r="18" spans="1:9" ht="15.75" thickBot="1" x14ac:dyDescent="0.3">
      <c r="A18" s="148">
        <v>14</v>
      </c>
      <c r="B18" s="149" t="s">
        <v>36</v>
      </c>
      <c r="C18" s="150" t="s">
        <v>66</v>
      </c>
      <c r="D18" s="151">
        <v>1</v>
      </c>
      <c r="F18" s="153"/>
      <c r="G18" s="153"/>
      <c r="H18" s="153"/>
      <c r="I18" s="153"/>
    </row>
    <row r="20" spans="1:9" ht="21" x14ac:dyDescent="0.35">
      <c r="A20" s="132"/>
      <c r="B20" s="132"/>
      <c r="C20" s="132"/>
      <c r="D20" s="132"/>
      <c r="E20" s="132"/>
      <c r="F20" s="132"/>
      <c r="G20" s="133"/>
    </row>
    <row r="21" spans="1:9" ht="15" customHeight="1" x14ac:dyDescent="0.35">
      <c r="A21" s="132" t="s">
        <v>58</v>
      </c>
      <c r="B21" s="132"/>
      <c r="C21" s="132"/>
      <c r="D21" s="132"/>
      <c r="E21" s="132"/>
      <c r="F21" s="132"/>
      <c r="G21" s="133"/>
    </row>
    <row r="22" spans="1:9" ht="15" customHeight="1" x14ac:dyDescent="0.35">
      <c r="A22" s="132"/>
      <c r="B22" s="132"/>
      <c r="C22" s="132"/>
      <c r="D22" s="132"/>
      <c r="E22" s="132"/>
      <c r="F22" s="132"/>
      <c r="G22" s="133"/>
    </row>
    <row r="23" spans="1:9" ht="21" x14ac:dyDescent="0.35">
      <c r="A23" s="132"/>
      <c r="B23" s="132"/>
      <c r="C23" s="132"/>
      <c r="D23" s="132"/>
      <c r="E23" s="132"/>
      <c r="F23" s="132"/>
      <c r="G23" s="133"/>
    </row>
    <row r="24" spans="1:9" ht="21" x14ac:dyDescent="0.35">
      <c r="A24" s="132" t="s">
        <v>59</v>
      </c>
      <c r="B24" s="132"/>
      <c r="C24" s="132"/>
      <c r="D24" s="132"/>
      <c r="E24" s="132"/>
      <c r="F24" s="132"/>
      <c r="G24" s="133"/>
    </row>
  </sheetData>
  <mergeCells count="2">
    <mergeCell ref="A1:D1"/>
    <mergeCell ref="A2:D2"/>
  </mergeCells>
  <pageMargins left="0.75" right="0.49" top="0.7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8" workbookViewId="0">
      <selection activeCell="O8" sqref="O8"/>
    </sheetView>
  </sheetViews>
  <sheetFormatPr defaultRowHeight="15" x14ac:dyDescent="0.25"/>
  <cols>
    <col min="1" max="1" width="4" style="76" customWidth="1"/>
    <col min="2" max="12" width="10.28515625" customWidth="1"/>
    <col min="13" max="13" width="10.28515625" style="38" customWidth="1"/>
    <col min="14" max="15" width="10.28515625" customWidth="1"/>
  </cols>
  <sheetData>
    <row r="1" spans="2:15" ht="36" customHeight="1" x14ac:dyDescent="0.25">
      <c r="B1" s="126" t="s">
        <v>16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5"/>
      <c r="O1" s="125"/>
    </row>
    <row r="2" spans="2:15" ht="15.75" thickBot="1" x14ac:dyDescent="0.3">
      <c r="M2"/>
    </row>
    <row r="3" spans="2:15" ht="30" customHeight="1" thickBot="1" x14ac:dyDescent="0.3">
      <c r="B3" s="75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75" t="s">
        <v>1</v>
      </c>
      <c r="L3" s="1" t="s">
        <v>3</v>
      </c>
      <c r="M3" s="22" t="s">
        <v>2</v>
      </c>
    </row>
    <row r="4" spans="2:15" ht="24" customHeight="1" x14ac:dyDescent="0.25">
      <c r="B4" s="80">
        <v>1</v>
      </c>
      <c r="C4" s="82" t="s">
        <v>38</v>
      </c>
      <c r="D4" s="83"/>
      <c r="E4" s="84"/>
      <c r="F4" s="10"/>
      <c r="G4" s="6" t="str">
        <f ca="1">INDIRECT(ADDRESS(23,6))&amp;":"&amp;INDIRECT(ADDRESS(23,7))</f>
        <v>11:13</v>
      </c>
      <c r="H4" s="6" t="str">
        <f ca="1">INDIRECT(ADDRESS(26,7))&amp;":"&amp;INDIRECT(ADDRESS(26,6))</f>
        <v>4:13</v>
      </c>
      <c r="I4" s="6" t="str">
        <f ca="1">INDIRECT(ADDRESS(30,6))&amp;":"&amp;INDIRECT(ADDRESS(30,7))</f>
        <v>13:1</v>
      </c>
      <c r="J4" s="21" t="str">
        <f ca="1">INDIRECT(ADDRESS(35,7))&amp;":"&amp;INDIRECT(ADDRESS(35,6))</f>
        <v>9:8</v>
      </c>
      <c r="K4" s="88">
        <f ca="1">IF(COUNT(F5:J5)=0,"",COUNTIF(F5:J5,"&gt;0")+0.5*COUNTIF(F5:J5,0))</f>
        <v>2</v>
      </c>
      <c r="L4" s="128" t="s">
        <v>30</v>
      </c>
      <c r="M4" s="90">
        <v>4</v>
      </c>
    </row>
    <row r="5" spans="2:15" ht="24" customHeight="1" x14ac:dyDescent="0.25">
      <c r="B5" s="81"/>
      <c r="C5" s="85"/>
      <c r="D5" s="86"/>
      <c r="E5" s="87"/>
      <c r="F5" s="14" t="s">
        <v>7</v>
      </c>
      <c r="G5" s="17">
        <f ca="1">IF(LEN(INDIRECT(ADDRESS(ROW()-1, COLUMN())))=1,"",INDIRECT(ADDRESS(23,6))-INDIRECT(ADDRESS(23,7)))</f>
        <v>-2</v>
      </c>
      <c r="H5" s="17">
        <f ca="1">IF(LEN(INDIRECT(ADDRESS(ROW()-1, COLUMN())))=1,"",INDIRECT(ADDRESS(26,7))-INDIRECT(ADDRESS(26,6)))</f>
        <v>-9</v>
      </c>
      <c r="I5" s="17">
        <f ca="1">IF(LEN(INDIRECT(ADDRESS(ROW()-1, COLUMN())))=1,"",INDIRECT(ADDRESS(30,6))-INDIRECT(ADDRESS(30,7)))</f>
        <v>12</v>
      </c>
      <c r="J5" s="18">
        <f ca="1">IF(LEN(INDIRECT(ADDRESS(ROW()-1, COLUMN())))=1,"",INDIRECT(ADDRESS(35,7))-INDIRECT(ADDRESS(35,6)))</f>
        <v>1</v>
      </c>
      <c r="K5" s="89"/>
      <c r="L5" s="17">
        <v>-1</v>
      </c>
      <c r="M5" s="91"/>
    </row>
    <row r="6" spans="2:15" ht="24" customHeight="1" x14ac:dyDescent="0.25">
      <c r="B6" s="92">
        <v>2</v>
      </c>
      <c r="C6" s="85" t="s">
        <v>39</v>
      </c>
      <c r="D6" s="86"/>
      <c r="E6" s="87"/>
      <c r="F6" s="12" t="str">
        <f ca="1">INDIRECT(ADDRESS(23,7))&amp;":"&amp;INDIRECT(ADDRESS(23,6))</f>
        <v>13:11</v>
      </c>
      <c r="G6" s="8" t="s">
        <v>7</v>
      </c>
      <c r="H6" s="7" t="str">
        <f ca="1">INDIRECT(ADDRESS(31,6))&amp;":"&amp;INDIRECT(ADDRESS(31,7))</f>
        <v>4:12</v>
      </c>
      <c r="I6" s="7" t="str">
        <f ca="1">INDIRECT(ADDRESS(34,7))&amp;":"&amp;INDIRECT(ADDRESS(34,6))</f>
        <v>13:4</v>
      </c>
      <c r="J6" s="11" t="str">
        <f ca="1">INDIRECT(ADDRESS(18,6))&amp;":"&amp;INDIRECT(ADDRESS(18,7))</f>
        <v>5:7</v>
      </c>
      <c r="K6" s="89">
        <f ca="1">IF(COUNT(F7:J7)=0,"",COUNTIF(F7:J7,"&gt;0")+0.5*COUNTIF(F7:J7,0))</f>
        <v>2</v>
      </c>
      <c r="L6" s="127" t="s">
        <v>30</v>
      </c>
      <c r="M6" s="91">
        <v>3</v>
      </c>
    </row>
    <row r="7" spans="2:15" ht="24" customHeight="1" x14ac:dyDescent="0.25">
      <c r="B7" s="81"/>
      <c r="C7" s="85"/>
      <c r="D7" s="86"/>
      <c r="E7" s="87"/>
      <c r="F7" s="23">
        <f ca="1">IF(LEN(INDIRECT(ADDRESS(ROW()-1, COLUMN())))=1,"",INDIRECT(ADDRESS(23,7))-INDIRECT(ADDRESS(23,6)))</f>
        <v>2</v>
      </c>
      <c r="G7" s="15" t="s">
        <v>7</v>
      </c>
      <c r="H7" s="17">
        <f ca="1">IF(LEN(INDIRECT(ADDRESS(ROW()-1, COLUMN())))=1,"",INDIRECT(ADDRESS(31,6))-INDIRECT(ADDRESS(31,7)))</f>
        <v>-8</v>
      </c>
      <c r="I7" s="17">
        <f ca="1">IF(LEN(INDIRECT(ADDRESS(ROW()-1, COLUMN())))=1,"",INDIRECT(ADDRESS(34,7))-INDIRECT(ADDRESS(34,6)))</f>
        <v>9</v>
      </c>
      <c r="J7" s="18">
        <f ca="1">IF(LEN(INDIRECT(ADDRESS(ROW()-1, COLUMN())))=1,"",INDIRECT(ADDRESS(18,6))-INDIRECT(ADDRESS(18,7)))</f>
        <v>-2</v>
      </c>
      <c r="K7" s="89"/>
      <c r="L7" s="17">
        <v>0</v>
      </c>
      <c r="M7" s="91"/>
    </row>
    <row r="8" spans="2:15" ht="24" customHeight="1" x14ac:dyDescent="0.25">
      <c r="B8" s="92">
        <v>3</v>
      </c>
      <c r="C8" s="85" t="s">
        <v>40</v>
      </c>
      <c r="D8" s="86"/>
      <c r="E8" s="87"/>
      <c r="F8" s="12" t="str">
        <f ca="1">INDIRECT(ADDRESS(26,6))&amp;":"&amp;INDIRECT(ADDRESS(26,7))</f>
        <v>13:4</v>
      </c>
      <c r="G8" s="7" t="str">
        <f ca="1">INDIRECT(ADDRESS(31,7))&amp;":"&amp;INDIRECT(ADDRESS(31,6))</f>
        <v>12:4</v>
      </c>
      <c r="H8" s="8" t="s">
        <v>7</v>
      </c>
      <c r="I8" s="7" t="str">
        <f ca="1">INDIRECT(ADDRESS(19,6))&amp;":"&amp;INDIRECT(ADDRESS(19,7))</f>
        <v>12:3</v>
      </c>
      <c r="J8" s="11" t="str">
        <f ca="1">INDIRECT(ADDRESS(22,7))&amp;":"&amp;INDIRECT(ADDRESS(22,6))</f>
        <v>13:0</v>
      </c>
      <c r="K8" s="89">
        <f ca="1">IF(COUNT(F9:J9)=0,"",COUNTIF(F9:J9,"&gt;0")+0.5*COUNTIF(F9:J9,0))</f>
        <v>4</v>
      </c>
      <c r="L8" s="17"/>
      <c r="M8" s="91">
        <v>1</v>
      </c>
    </row>
    <row r="9" spans="2:15" ht="24" customHeight="1" x14ac:dyDescent="0.25">
      <c r="B9" s="81"/>
      <c r="C9" s="85"/>
      <c r="D9" s="86"/>
      <c r="E9" s="87"/>
      <c r="F9" s="23">
        <f ca="1">IF(LEN(INDIRECT(ADDRESS(ROW()-1, COLUMN())))=1,"",INDIRECT(ADDRESS(26,6))-INDIRECT(ADDRESS(26,7)))</f>
        <v>9</v>
      </c>
      <c r="G9" s="17">
        <f ca="1">IF(LEN(INDIRECT(ADDRESS(ROW()-1, COLUMN())))=1,"",INDIRECT(ADDRESS(31,7))-INDIRECT(ADDRESS(31,6)))</f>
        <v>8</v>
      </c>
      <c r="H9" s="15" t="s">
        <v>7</v>
      </c>
      <c r="I9" s="17">
        <f ca="1">IF(LEN(INDIRECT(ADDRESS(ROW()-1, COLUMN())))=1,"",INDIRECT(ADDRESS(19,6))-INDIRECT(ADDRESS(19,7)))</f>
        <v>9</v>
      </c>
      <c r="J9" s="18">
        <f ca="1">IF(LEN(INDIRECT(ADDRESS(ROW()-1, COLUMN())))=1,"",INDIRECT(ADDRESS(22,7))-INDIRECT(ADDRESS(22,6)))</f>
        <v>13</v>
      </c>
      <c r="K9" s="89"/>
      <c r="L9" s="17"/>
      <c r="M9" s="91"/>
    </row>
    <row r="10" spans="2:15" ht="24" customHeight="1" x14ac:dyDescent="0.25">
      <c r="B10" s="92">
        <v>4</v>
      </c>
      <c r="C10" s="85" t="s">
        <v>41</v>
      </c>
      <c r="D10" s="86"/>
      <c r="E10" s="87"/>
      <c r="F10" s="12" t="str">
        <f ca="1">INDIRECT(ADDRESS(30,7))&amp;":"&amp;INDIRECT(ADDRESS(30,6))</f>
        <v>1:13</v>
      </c>
      <c r="G10" s="7" t="str">
        <f ca="1">INDIRECT(ADDRESS(34,6))&amp;":"&amp;INDIRECT(ADDRESS(34,7))</f>
        <v>4:13</v>
      </c>
      <c r="H10" s="7" t="str">
        <f ca="1">INDIRECT(ADDRESS(19,7))&amp;":"&amp;INDIRECT(ADDRESS(19,6))</f>
        <v>3:12</v>
      </c>
      <c r="I10" s="8" t="s">
        <v>7</v>
      </c>
      <c r="J10" s="11" t="str">
        <f ca="1">INDIRECT(ADDRESS(27,6))&amp;":"&amp;INDIRECT(ADDRESS(27,7))</f>
        <v>4:13</v>
      </c>
      <c r="K10" s="89">
        <f ca="1">IF(COUNT(F11:J11)=0,"",COUNTIF(F11:J11,"&gt;0")+0.5*COUNTIF(F11:J11,0))</f>
        <v>0</v>
      </c>
      <c r="L10" s="17"/>
      <c r="M10" s="91">
        <v>5</v>
      </c>
    </row>
    <row r="11" spans="2:15" ht="24" customHeight="1" x14ac:dyDescent="0.25">
      <c r="B11" s="81"/>
      <c r="C11" s="85"/>
      <c r="D11" s="86"/>
      <c r="E11" s="87"/>
      <c r="F11" s="23">
        <f ca="1">IF(LEN(INDIRECT(ADDRESS(ROW()-1, COLUMN())))=1,"",INDIRECT(ADDRESS(30,7))-INDIRECT(ADDRESS(30,6)))</f>
        <v>-12</v>
      </c>
      <c r="G11" s="17">
        <f ca="1">IF(LEN(INDIRECT(ADDRESS(ROW()-1, COLUMN())))=1,"",INDIRECT(ADDRESS(34,6))-INDIRECT(ADDRESS(34,7)))</f>
        <v>-9</v>
      </c>
      <c r="H11" s="17">
        <f ca="1">IF(LEN(INDIRECT(ADDRESS(ROW()-1, COLUMN())))=1,"",INDIRECT(ADDRESS(19,7))-INDIRECT(ADDRESS(19,6)))</f>
        <v>-9</v>
      </c>
      <c r="I11" s="15" t="s">
        <v>7</v>
      </c>
      <c r="J11" s="18">
        <f ca="1">IF(LEN(INDIRECT(ADDRESS(ROW()-1, COLUMN())))=1,"",INDIRECT(ADDRESS(27,6))-INDIRECT(ADDRESS(27,7)))</f>
        <v>-9</v>
      </c>
      <c r="K11" s="89"/>
      <c r="L11" s="17">
        <f ca="1">IF(COUNT(F11:J11)=0,"",SUM(F11:J11))</f>
        <v>-39</v>
      </c>
      <c r="M11" s="91"/>
      <c r="N11">
        <v>12</v>
      </c>
    </row>
    <row r="12" spans="2:15" ht="24" customHeight="1" x14ac:dyDescent="0.25">
      <c r="B12" s="92">
        <v>5</v>
      </c>
      <c r="C12" s="85" t="s">
        <v>42</v>
      </c>
      <c r="D12" s="86"/>
      <c r="E12" s="87"/>
      <c r="F12" s="12" t="str">
        <f ca="1">INDIRECT(ADDRESS(35,6))&amp;":"&amp;INDIRECT(ADDRESS(35,7))</f>
        <v>8:9</v>
      </c>
      <c r="G12" s="7" t="str">
        <f ca="1">INDIRECT(ADDRESS(18,7))&amp;":"&amp;INDIRECT(ADDRESS(18,6))</f>
        <v>7:5</v>
      </c>
      <c r="H12" s="7" t="str">
        <f ca="1">INDIRECT(ADDRESS(22,6))&amp;":"&amp;INDIRECT(ADDRESS(22,7))</f>
        <v>0:13</v>
      </c>
      <c r="I12" s="7" t="str">
        <f ca="1">INDIRECT(ADDRESS(27,7))&amp;":"&amp;INDIRECT(ADDRESS(27,6))</f>
        <v>13:4</v>
      </c>
      <c r="J12" s="13" t="s">
        <v>7</v>
      </c>
      <c r="K12" s="89">
        <f ca="1">IF(COUNT(F13:J13)=0,"",COUNTIF(F13:J13,"&gt;0")+0.5*COUNTIF(F13:J13,0))</f>
        <v>2</v>
      </c>
      <c r="L12" s="127" t="s">
        <v>30</v>
      </c>
      <c r="M12" s="91">
        <v>2</v>
      </c>
    </row>
    <row r="13" spans="2:15" ht="24" customHeight="1" thickBot="1" x14ac:dyDescent="0.3">
      <c r="B13" s="93"/>
      <c r="C13" s="94"/>
      <c r="D13" s="95"/>
      <c r="E13" s="96"/>
      <c r="F13" s="20">
        <f ca="1">IF(LEN(INDIRECT(ADDRESS(ROW()-1, COLUMN())))=1,"",INDIRECT(ADDRESS(35,6))-INDIRECT(ADDRESS(35,7)))</f>
        <v>-1</v>
      </c>
      <c r="G13" s="19">
        <f ca="1">IF(LEN(INDIRECT(ADDRESS(ROW()-1, COLUMN())))=1,"",INDIRECT(ADDRESS(18,7))-INDIRECT(ADDRESS(18,6)))</f>
        <v>2</v>
      </c>
      <c r="H13" s="19">
        <f ca="1">IF(LEN(INDIRECT(ADDRESS(ROW()-1, COLUMN())))=1,"",INDIRECT(ADDRESS(22,6))-INDIRECT(ADDRESS(22,7)))</f>
        <v>-13</v>
      </c>
      <c r="I13" s="19">
        <f ca="1">IF(LEN(INDIRECT(ADDRESS(ROW()-1, COLUMN())))=1,"",INDIRECT(ADDRESS(27,7))-INDIRECT(ADDRESS(27,6)))</f>
        <v>9</v>
      </c>
      <c r="J13" s="16" t="s">
        <v>7</v>
      </c>
      <c r="K13" s="97"/>
      <c r="L13" s="19">
        <v>1</v>
      </c>
      <c r="M13" s="98"/>
    </row>
    <row r="14" spans="2:15" x14ac:dyDescent="0.25">
      <c r="M14"/>
    </row>
    <row r="15" spans="2:15" x14ac:dyDescent="0.25">
      <c r="M15"/>
    </row>
    <row r="16" spans="2:15" x14ac:dyDescent="0.25">
      <c r="M16"/>
    </row>
    <row r="17" spans="1:13" s="67" customFormat="1" ht="30" customHeight="1" thickBot="1" x14ac:dyDescent="0.4">
      <c r="A17" s="66"/>
      <c r="B17" s="99" t="s">
        <v>4</v>
      </c>
      <c r="C17" s="99"/>
      <c r="D17" s="99"/>
      <c r="E17" s="99"/>
      <c r="F17" s="99"/>
      <c r="G17" s="99"/>
      <c r="H17" s="99"/>
      <c r="I17" s="99"/>
      <c r="J17" s="99"/>
      <c r="K17" s="99"/>
      <c r="M17" s="73"/>
    </row>
    <row r="18" spans="1:13" s="67" customFormat="1" ht="30" customHeight="1" thickBot="1" x14ac:dyDescent="0.4">
      <c r="A18" s="66"/>
      <c r="B18" s="71">
        <v>2</v>
      </c>
      <c r="C18" s="103" t="str">
        <f ca="1">IF(ISBLANK(INDIRECT(ADDRESS(B18*2+2,3))),"",INDIRECT(ADDRESS(B18*2+2,3)))</f>
        <v>Семченкова Марина</v>
      </c>
      <c r="D18" s="103"/>
      <c r="E18" s="104"/>
      <c r="F18" s="68">
        <v>5</v>
      </c>
      <c r="G18" s="69">
        <v>7</v>
      </c>
      <c r="H18" s="105" t="str">
        <f ca="1">IF(ISBLANK(INDIRECT(ADDRESS(K18*2+2,3))),"",INDIRECT(ADDRESS(K18*2+2,3)))</f>
        <v>Корсакова Ольга</v>
      </c>
      <c r="I18" s="103"/>
      <c r="J18" s="103"/>
      <c r="K18" s="71">
        <v>5</v>
      </c>
      <c r="L18" s="70" t="s">
        <v>11</v>
      </c>
      <c r="M18" s="74">
        <v>1</v>
      </c>
    </row>
    <row r="19" spans="1:13" s="67" customFormat="1" ht="30" customHeight="1" thickBot="1" x14ac:dyDescent="0.4">
      <c r="A19" s="66"/>
      <c r="B19" s="71">
        <v>3</v>
      </c>
      <c r="C19" s="103" t="str">
        <f ca="1">IF(ISBLANK(INDIRECT(ADDRESS(B19*2+2,3))),"",INDIRECT(ADDRESS(B19*2+2,3)))</f>
        <v>Костяная Евгения</v>
      </c>
      <c r="D19" s="103"/>
      <c r="E19" s="104"/>
      <c r="F19" s="68">
        <v>12</v>
      </c>
      <c r="G19" s="69">
        <v>3</v>
      </c>
      <c r="H19" s="105" t="str">
        <f ca="1">IF(ISBLANK(INDIRECT(ADDRESS(K19*2+2,3))),"",INDIRECT(ADDRESS(K19*2+2,3)))</f>
        <v>Помазан Лидия</v>
      </c>
      <c r="I19" s="103"/>
      <c r="J19" s="103"/>
      <c r="K19" s="71">
        <v>4</v>
      </c>
      <c r="L19" s="70" t="s">
        <v>11</v>
      </c>
      <c r="M19" s="74">
        <v>2</v>
      </c>
    </row>
    <row r="20" spans="1:13" s="67" customFormat="1" ht="30" customHeight="1" x14ac:dyDescent="0.35">
      <c r="A20" s="66"/>
      <c r="M20" s="72"/>
    </row>
    <row r="21" spans="1:13" s="67" customFormat="1" ht="30" customHeight="1" thickBot="1" x14ac:dyDescent="0.4">
      <c r="A21" s="66"/>
      <c r="B21" s="99" t="s">
        <v>5</v>
      </c>
      <c r="C21" s="99"/>
      <c r="D21" s="99"/>
      <c r="E21" s="99"/>
      <c r="F21" s="99"/>
      <c r="G21" s="99"/>
      <c r="H21" s="99"/>
      <c r="I21" s="99"/>
      <c r="J21" s="99"/>
      <c r="K21" s="99"/>
      <c r="M21" s="72"/>
    </row>
    <row r="22" spans="1:13" s="67" customFormat="1" ht="30" customHeight="1" thickBot="1" x14ac:dyDescent="0.4">
      <c r="A22" s="66"/>
      <c r="B22" s="71">
        <v>5</v>
      </c>
      <c r="C22" s="103" t="str">
        <f ca="1">IF(ISBLANK(INDIRECT(ADDRESS(B22*2+2,3))),"",INDIRECT(ADDRESS(B22*2+2,3)))</f>
        <v>Корсакова Ольга</v>
      </c>
      <c r="D22" s="103"/>
      <c r="E22" s="104"/>
      <c r="F22" s="68">
        <v>0</v>
      </c>
      <c r="G22" s="69">
        <v>13</v>
      </c>
      <c r="H22" s="105" t="str">
        <f ca="1">IF(ISBLANK(INDIRECT(ADDRESS(K22*2+2,3))),"",INDIRECT(ADDRESS(K22*2+2,3)))</f>
        <v>Костяная Евгения</v>
      </c>
      <c r="I22" s="103"/>
      <c r="J22" s="103"/>
      <c r="K22" s="71">
        <v>3</v>
      </c>
      <c r="L22" s="70" t="s">
        <v>11</v>
      </c>
      <c r="M22" s="74">
        <v>3</v>
      </c>
    </row>
    <row r="23" spans="1:13" s="67" customFormat="1" ht="30" customHeight="1" thickBot="1" x14ac:dyDescent="0.4">
      <c r="A23" s="66"/>
      <c r="B23" s="71">
        <v>1</v>
      </c>
      <c r="C23" s="103" t="str">
        <f ca="1">IF(ISBLANK(INDIRECT(ADDRESS(B23*2+2,3))),"",INDIRECT(ADDRESS(B23*2+2,3)))</f>
        <v>Фёдорова Анна</v>
      </c>
      <c r="D23" s="103"/>
      <c r="E23" s="104"/>
      <c r="F23" s="68">
        <v>11</v>
      </c>
      <c r="G23" s="69">
        <v>13</v>
      </c>
      <c r="H23" s="105" t="str">
        <f ca="1">IF(ISBLANK(INDIRECT(ADDRESS(K23*2+2,3))),"",INDIRECT(ADDRESS(K23*2+2,3)))</f>
        <v>Семченкова Марина</v>
      </c>
      <c r="I23" s="103"/>
      <c r="J23" s="103"/>
      <c r="K23" s="71">
        <v>2</v>
      </c>
      <c r="L23" s="70" t="s">
        <v>11</v>
      </c>
      <c r="M23" s="74">
        <v>4</v>
      </c>
    </row>
    <row r="24" spans="1:13" s="67" customFormat="1" ht="30" customHeight="1" x14ac:dyDescent="0.35">
      <c r="A24" s="66"/>
      <c r="M24" s="72"/>
    </row>
    <row r="25" spans="1:13" s="67" customFormat="1" ht="30" customHeight="1" thickBot="1" x14ac:dyDescent="0.4">
      <c r="A25" s="66"/>
      <c r="B25" s="99" t="s">
        <v>6</v>
      </c>
      <c r="C25" s="99"/>
      <c r="D25" s="99"/>
      <c r="E25" s="99"/>
      <c r="F25" s="99"/>
      <c r="G25" s="99"/>
      <c r="H25" s="99"/>
      <c r="I25" s="99"/>
      <c r="J25" s="99"/>
      <c r="K25" s="99"/>
      <c r="M25" s="72"/>
    </row>
    <row r="26" spans="1:13" s="67" customFormat="1" ht="30" customHeight="1" thickBot="1" x14ac:dyDescent="0.4">
      <c r="A26" s="66"/>
      <c r="B26" s="71">
        <v>3</v>
      </c>
      <c r="C26" s="103" t="str">
        <f ca="1">IF(ISBLANK(INDIRECT(ADDRESS(B26*2+2,3))),"",INDIRECT(ADDRESS(B26*2+2,3)))</f>
        <v>Костяная Евгения</v>
      </c>
      <c r="D26" s="103"/>
      <c r="E26" s="104"/>
      <c r="F26" s="68">
        <v>13</v>
      </c>
      <c r="G26" s="69">
        <v>4</v>
      </c>
      <c r="H26" s="105" t="str">
        <f ca="1">IF(ISBLANK(INDIRECT(ADDRESS(K26*2+2,3))),"",INDIRECT(ADDRESS(K26*2+2,3)))</f>
        <v>Фёдорова Анна</v>
      </c>
      <c r="I26" s="103"/>
      <c r="J26" s="103"/>
      <c r="K26" s="71">
        <v>1</v>
      </c>
      <c r="L26" s="70" t="s">
        <v>11</v>
      </c>
      <c r="M26" s="74">
        <v>5</v>
      </c>
    </row>
    <row r="27" spans="1:13" s="67" customFormat="1" ht="30" customHeight="1" thickBot="1" x14ac:dyDescent="0.4">
      <c r="A27" s="66"/>
      <c r="B27" s="71">
        <v>4</v>
      </c>
      <c r="C27" s="103" t="str">
        <f ca="1">IF(ISBLANK(INDIRECT(ADDRESS(B27*2+2,3))),"",INDIRECT(ADDRESS(B27*2+2,3)))</f>
        <v>Помазан Лидия</v>
      </c>
      <c r="D27" s="103"/>
      <c r="E27" s="104"/>
      <c r="F27" s="68">
        <v>4</v>
      </c>
      <c r="G27" s="69">
        <v>13</v>
      </c>
      <c r="H27" s="105" t="str">
        <f ca="1">IF(ISBLANK(INDIRECT(ADDRESS(K27*2+2,3))),"",INDIRECT(ADDRESS(K27*2+2,3)))</f>
        <v>Корсакова Ольга</v>
      </c>
      <c r="I27" s="103"/>
      <c r="J27" s="103"/>
      <c r="K27" s="71">
        <v>5</v>
      </c>
      <c r="L27" s="70" t="s">
        <v>11</v>
      </c>
      <c r="M27" s="74">
        <v>6</v>
      </c>
    </row>
    <row r="28" spans="1:13" s="67" customFormat="1" ht="30" customHeight="1" x14ac:dyDescent="0.35">
      <c r="A28" s="66"/>
      <c r="M28" s="72"/>
    </row>
    <row r="29" spans="1:13" s="67" customFormat="1" ht="30" customHeight="1" thickBot="1" x14ac:dyDescent="0.4">
      <c r="A29" s="66"/>
      <c r="B29" s="99" t="s">
        <v>8</v>
      </c>
      <c r="C29" s="99"/>
      <c r="D29" s="99"/>
      <c r="E29" s="99"/>
      <c r="F29" s="99"/>
      <c r="G29" s="99"/>
      <c r="H29" s="99"/>
      <c r="I29" s="99"/>
      <c r="J29" s="99"/>
      <c r="K29" s="99"/>
      <c r="M29" s="72"/>
    </row>
    <row r="30" spans="1:13" s="67" customFormat="1" ht="30" customHeight="1" thickBot="1" x14ac:dyDescent="0.4">
      <c r="A30" s="66"/>
      <c r="B30" s="71">
        <v>1</v>
      </c>
      <c r="C30" s="103" t="str">
        <f ca="1">IF(ISBLANK(INDIRECT(ADDRESS(B30*2+2,3))),"",INDIRECT(ADDRESS(B30*2+2,3)))</f>
        <v>Фёдорова Анна</v>
      </c>
      <c r="D30" s="103"/>
      <c r="E30" s="104"/>
      <c r="F30" s="68">
        <v>13</v>
      </c>
      <c r="G30" s="69">
        <v>1</v>
      </c>
      <c r="H30" s="105" t="str">
        <f ca="1">IF(ISBLANK(INDIRECT(ADDRESS(K30*2+2,3))),"",INDIRECT(ADDRESS(K30*2+2,3)))</f>
        <v>Помазан Лидия</v>
      </c>
      <c r="I30" s="103"/>
      <c r="J30" s="103"/>
      <c r="K30" s="71">
        <v>4</v>
      </c>
      <c r="L30" s="70" t="s">
        <v>11</v>
      </c>
      <c r="M30" s="74">
        <v>1</v>
      </c>
    </row>
    <row r="31" spans="1:13" s="67" customFormat="1" ht="30" customHeight="1" thickBot="1" x14ac:dyDescent="0.4">
      <c r="A31" s="66"/>
      <c r="B31" s="71">
        <v>2</v>
      </c>
      <c r="C31" s="103" t="str">
        <f ca="1">IF(ISBLANK(INDIRECT(ADDRESS(B31*2+2,3))),"",INDIRECT(ADDRESS(B31*2+2,3)))</f>
        <v>Семченкова Марина</v>
      </c>
      <c r="D31" s="103"/>
      <c r="E31" s="104"/>
      <c r="F31" s="68">
        <v>4</v>
      </c>
      <c r="G31" s="69">
        <v>12</v>
      </c>
      <c r="H31" s="105" t="str">
        <f ca="1">IF(ISBLANK(INDIRECT(ADDRESS(K31*2+2,3))),"",INDIRECT(ADDRESS(K31*2+2,3)))</f>
        <v>Костяная Евгения</v>
      </c>
      <c r="I31" s="103"/>
      <c r="J31" s="103"/>
      <c r="K31" s="71">
        <v>3</v>
      </c>
      <c r="L31" s="70" t="s">
        <v>11</v>
      </c>
      <c r="M31" s="74">
        <v>2</v>
      </c>
    </row>
    <row r="32" spans="1:13" s="67" customFormat="1" ht="30" customHeight="1" x14ac:dyDescent="0.35">
      <c r="A32" s="66"/>
      <c r="M32" s="72"/>
    </row>
    <row r="33" spans="1:13" s="67" customFormat="1" ht="30" customHeight="1" thickBot="1" x14ac:dyDescent="0.4">
      <c r="A33" s="66"/>
      <c r="B33" s="99" t="s">
        <v>9</v>
      </c>
      <c r="C33" s="99"/>
      <c r="D33" s="99"/>
      <c r="E33" s="99"/>
      <c r="F33" s="99"/>
      <c r="G33" s="99"/>
      <c r="H33" s="99"/>
      <c r="I33" s="99"/>
      <c r="J33" s="99"/>
      <c r="K33" s="99"/>
      <c r="M33" s="72"/>
    </row>
    <row r="34" spans="1:13" s="67" customFormat="1" ht="30" customHeight="1" thickBot="1" x14ac:dyDescent="0.4">
      <c r="A34" s="66"/>
      <c r="B34" s="71">
        <v>4</v>
      </c>
      <c r="C34" s="103" t="str">
        <f ca="1">IF(ISBLANK(INDIRECT(ADDRESS(B34*2+2,3))),"",INDIRECT(ADDRESS(B34*2+2,3)))</f>
        <v>Помазан Лидия</v>
      </c>
      <c r="D34" s="103"/>
      <c r="E34" s="104"/>
      <c r="F34" s="68">
        <v>4</v>
      </c>
      <c r="G34" s="69">
        <v>13</v>
      </c>
      <c r="H34" s="105" t="str">
        <f ca="1">IF(ISBLANK(INDIRECT(ADDRESS(K34*2+2,3))),"",INDIRECT(ADDRESS(K34*2+2,3)))</f>
        <v>Семченкова Марина</v>
      </c>
      <c r="I34" s="103"/>
      <c r="J34" s="103"/>
      <c r="K34" s="71">
        <v>2</v>
      </c>
      <c r="L34" s="70" t="s">
        <v>11</v>
      </c>
      <c r="M34" s="74">
        <v>3</v>
      </c>
    </row>
    <row r="35" spans="1:13" s="67" customFormat="1" ht="30" customHeight="1" thickBot="1" x14ac:dyDescent="0.4">
      <c r="A35" s="66"/>
      <c r="B35" s="71">
        <v>5</v>
      </c>
      <c r="C35" s="103" t="str">
        <f ca="1">IF(ISBLANK(INDIRECT(ADDRESS(B35*2+2,3))),"",INDIRECT(ADDRESS(B35*2+2,3)))</f>
        <v>Корсакова Ольга</v>
      </c>
      <c r="D35" s="103"/>
      <c r="E35" s="104"/>
      <c r="F35" s="68">
        <v>8</v>
      </c>
      <c r="G35" s="69">
        <v>9</v>
      </c>
      <c r="H35" s="105" t="str">
        <f ca="1">IF(ISBLANK(INDIRECT(ADDRESS(K35*2+2,3))),"",INDIRECT(ADDRESS(K35*2+2,3)))</f>
        <v>Фёдорова Анна</v>
      </c>
      <c r="I35" s="103"/>
      <c r="J35" s="103"/>
      <c r="K35" s="71">
        <v>1</v>
      </c>
      <c r="L35" s="70" t="s">
        <v>11</v>
      </c>
      <c r="M35" s="74">
        <v>4</v>
      </c>
    </row>
    <row r="38" spans="1:13" ht="21" x14ac:dyDescent="0.35">
      <c r="B38" s="132" t="s">
        <v>58</v>
      </c>
      <c r="C38" s="132"/>
      <c r="D38" s="132"/>
      <c r="E38" s="132"/>
      <c r="F38" s="132"/>
      <c r="G38" s="132"/>
      <c r="H38" s="133"/>
    </row>
    <row r="39" spans="1:13" ht="21" x14ac:dyDescent="0.35">
      <c r="B39" s="132"/>
      <c r="C39" s="132"/>
      <c r="D39" s="132"/>
      <c r="E39" s="132"/>
      <c r="F39" s="132"/>
      <c r="G39" s="132"/>
      <c r="H39" s="133"/>
    </row>
    <row r="40" spans="1:13" ht="21" x14ac:dyDescent="0.35">
      <c r="B40" s="132"/>
      <c r="C40" s="132"/>
      <c r="D40" s="132"/>
      <c r="E40" s="132"/>
      <c r="F40" s="132"/>
      <c r="G40" s="132"/>
      <c r="H40" s="133"/>
    </row>
    <row r="41" spans="1:13" ht="21" x14ac:dyDescent="0.35">
      <c r="B41" s="132" t="s">
        <v>59</v>
      </c>
      <c r="C41" s="132"/>
      <c r="D41" s="132"/>
      <c r="E41" s="132"/>
      <c r="F41" s="132"/>
      <c r="G41" s="132"/>
      <c r="H41" s="133"/>
    </row>
  </sheetData>
  <mergeCells count="47">
    <mergeCell ref="B33:K33"/>
    <mergeCell ref="C34:E34"/>
    <mergeCell ref="H34:J34"/>
    <mergeCell ref="C35:E35"/>
    <mergeCell ref="H35:J35"/>
    <mergeCell ref="B1:M1"/>
    <mergeCell ref="C27:E27"/>
    <mergeCell ref="H27:J27"/>
    <mergeCell ref="B29:K29"/>
    <mergeCell ref="C30:E30"/>
    <mergeCell ref="H30:J30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B17:K17"/>
    <mergeCell ref="C18:E18"/>
    <mergeCell ref="H18:J18"/>
    <mergeCell ref="C19:E19"/>
    <mergeCell ref="H19:J1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6:B7"/>
    <mergeCell ref="C6:E7"/>
    <mergeCell ref="K6:K7"/>
    <mergeCell ref="M6:M7"/>
    <mergeCell ref="B8:B9"/>
    <mergeCell ref="C8:E9"/>
    <mergeCell ref="K8:K9"/>
    <mergeCell ref="M8:M9"/>
    <mergeCell ref="C3:E3"/>
    <mergeCell ref="B4:B5"/>
    <mergeCell ref="C4:E5"/>
    <mergeCell ref="K4:K5"/>
    <mergeCell ref="M4:M5"/>
  </mergeCells>
  <printOptions horizontalCentered="1"/>
  <pageMargins left="0.25" right="0.25" top="0.75" bottom="0.75" header="0.3" footer="0.3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31" workbookViewId="0">
      <selection activeCell="P7" sqref="P7"/>
    </sheetView>
  </sheetViews>
  <sheetFormatPr defaultRowHeight="15" x14ac:dyDescent="0.25"/>
  <cols>
    <col min="1" max="1" width="4" style="76" customWidth="1"/>
    <col min="2" max="12" width="10.28515625" customWidth="1"/>
    <col min="13" max="13" width="10.28515625" style="38" customWidth="1"/>
    <col min="14" max="15" width="10.28515625" customWidth="1"/>
  </cols>
  <sheetData>
    <row r="1" spans="2:14" ht="36" customHeight="1" x14ac:dyDescent="0.25">
      <c r="B1" s="126" t="s">
        <v>17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2:14" ht="15.75" thickBot="1" x14ac:dyDescent="0.3">
      <c r="M2"/>
    </row>
    <row r="3" spans="2:14" ht="30" customHeight="1" thickBot="1" x14ac:dyDescent="0.3">
      <c r="B3" s="75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75" t="s">
        <v>1</v>
      </c>
      <c r="L3" s="1" t="s">
        <v>3</v>
      </c>
      <c r="M3" s="22" t="s">
        <v>2</v>
      </c>
    </row>
    <row r="4" spans="2:14" ht="24" customHeight="1" x14ac:dyDescent="0.25">
      <c r="B4" s="80">
        <v>1</v>
      </c>
      <c r="C4" s="82" t="s">
        <v>43</v>
      </c>
      <c r="D4" s="83"/>
      <c r="E4" s="84"/>
      <c r="F4" s="10" t="s">
        <v>7</v>
      </c>
      <c r="G4" s="6" t="str">
        <f ca="1">INDIRECT(ADDRESS(23,6))&amp;":"&amp;INDIRECT(ADDRESS(23,7))</f>
        <v>10:7</v>
      </c>
      <c r="H4" s="6" t="str">
        <f ca="1">INDIRECT(ADDRESS(26,7))&amp;":"&amp;INDIRECT(ADDRESS(26,6))</f>
        <v>11:6</v>
      </c>
      <c r="I4" s="6" t="str">
        <f ca="1">INDIRECT(ADDRESS(30,6))&amp;":"&amp;INDIRECT(ADDRESS(30,7))</f>
        <v>8:13</v>
      </c>
      <c r="J4" s="21" t="str">
        <f ca="1">INDIRECT(ADDRESS(35,7))&amp;":"&amp;INDIRECT(ADDRESS(35,6))</f>
        <v>13:1</v>
      </c>
      <c r="K4" s="88">
        <f ca="1">IF(COUNT(F5:J5)=0,"",COUNTIF(F5:J5,"&gt;0")+0.5*COUNTIF(F5:J5,0))</f>
        <v>3</v>
      </c>
      <c r="L4" s="24"/>
      <c r="M4" s="90">
        <v>2</v>
      </c>
    </row>
    <row r="5" spans="2:14" ht="24" customHeight="1" x14ac:dyDescent="0.25">
      <c r="B5" s="81"/>
      <c r="C5" s="85"/>
      <c r="D5" s="86"/>
      <c r="E5" s="87"/>
      <c r="F5" s="14" t="s">
        <v>7</v>
      </c>
      <c r="G5" s="17">
        <f ca="1">IF(LEN(INDIRECT(ADDRESS(ROW()-1, COLUMN())))=1,"",INDIRECT(ADDRESS(23,6))-INDIRECT(ADDRESS(23,7)))</f>
        <v>3</v>
      </c>
      <c r="H5" s="17">
        <f ca="1">IF(LEN(INDIRECT(ADDRESS(ROW()-1, COLUMN())))=1,"",INDIRECT(ADDRESS(26,7))-INDIRECT(ADDRESS(26,6)))</f>
        <v>5</v>
      </c>
      <c r="I5" s="17">
        <f ca="1">IF(LEN(INDIRECT(ADDRESS(ROW()-1, COLUMN())))=1,"",INDIRECT(ADDRESS(30,6))-INDIRECT(ADDRESS(30,7)))</f>
        <v>-5</v>
      </c>
      <c r="J5" s="18">
        <f ca="1">IF(LEN(INDIRECT(ADDRESS(ROW()-1, COLUMN())))=1,"",INDIRECT(ADDRESS(35,7))-INDIRECT(ADDRESS(35,6)))</f>
        <v>12</v>
      </c>
      <c r="K5" s="89"/>
      <c r="L5" s="17"/>
      <c r="M5" s="91"/>
    </row>
    <row r="6" spans="2:14" ht="24" customHeight="1" x14ac:dyDescent="0.25">
      <c r="B6" s="92">
        <v>2</v>
      </c>
      <c r="C6" s="85" t="s">
        <v>44</v>
      </c>
      <c r="D6" s="86"/>
      <c r="E6" s="87"/>
      <c r="F6" s="12" t="str">
        <f ca="1">INDIRECT(ADDRESS(23,7))&amp;":"&amp;INDIRECT(ADDRESS(23,6))</f>
        <v>7:10</v>
      </c>
      <c r="G6" s="8" t="s">
        <v>7</v>
      </c>
      <c r="H6" s="7" t="str">
        <f ca="1">INDIRECT(ADDRESS(31,6))&amp;":"&amp;INDIRECT(ADDRESS(31,7))</f>
        <v>13:3</v>
      </c>
      <c r="I6" s="7" t="str">
        <f ca="1">INDIRECT(ADDRESS(34,7))&amp;":"&amp;INDIRECT(ADDRESS(34,6))</f>
        <v>8:10</v>
      </c>
      <c r="J6" s="11" t="str">
        <f ca="1">INDIRECT(ADDRESS(18,6))&amp;":"&amp;INDIRECT(ADDRESS(18,7))</f>
        <v>13:7</v>
      </c>
      <c r="K6" s="89">
        <f ca="1">IF(COUNT(F7:J7)=0,"",COUNTIF(F7:J7,"&gt;0")+0.5*COUNTIF(F7:J7,0))</f>
        <v>2</v>
      </c>
      <c r="L6" s="17"/>
      <c r="M6" s="91">
        <v>3</v>
      </c>
    </row>
    <row r="7" spans="2:14" ht="24" customHeight="1" x14ac:dyDescent="0.25">
      <c r="B7" s="81"/>
      <c r="C7" s="85"/>
      <c r="D7" s="86"/>
      <c r="E7" s="87"/>
      <c r="F7" s="23">
        <f ca="1">IF(LEN(INDIRECT(ADDRESS(ROW()-1, COLUMN())))=1,"",INDIRECT(ADDRESS(23,7))-INDIRECT(ADDRESS(23,6)))</f>
        <v>-3</v>
      </c>
      <c r="G7" s="15" t="s">
        <v>7</v>
      </c>
      <c r="H7" s="17">
        <f ca="1">IF(LEN(INDIRECT(ADDRESS(ROW()-1, COLUMN())))=1,"",INDIRECT(ADDRESS(31,6))-INDIRECT(ADDRESS(31,7)))</f>
        <v>10</v>
      </c>
      <c r="I7" s="17">
        <f ca="1">IF(LEN(INDIRECT(ADDRESS(ROW()-1, COLUMN())))=1,"",INDIRECT(ADDRESS(34,7))-INDIRECT(ADDRESS(34,6)))</f>
        <v>-2</v>
      </c>
      <c r="J7" s="18">
        <f ca="1">IF(LEN(INDIRECT(ADDRESS(ROW()-1, COLUMN())))=1,"",INDIRECT(ADDRESS(18,6))-INDIRECT(ADDRESS(18,7)))</f>
        <v>6</v>
      </c>
      <c r="K7" s="89"/>
      <c r="L7" s="17"/>
      <c r="M7" s="91"/>
    </row>
    <row r="8" spans="2:14" ht="24" customHeight="1" x14ac:dyDescent="0.25">
      <c r="B8" s="92">
        <v>3</v>
      </c>
      <c r="C8" s="85" t="s">
        <v>45</v>
      </c>
      <c r="D8" s="86"/>
      <c r="E8" s="87"/>
      <c r="F8" s="12" t="str">
        <f ca="1">INDIRECT(ADDRESS(26,6))&amp;":"&amp;INDIRECT(ADDRESS(26,7))</f>
        <v>6:11</v>
      </c>
      <c r="G8" s="7" t="str">
        <f ca="1">INDIRECT(ADDRESS(31,7))&amp;":"&amp;INDIRECT(ADDRESS(31,6))</f>
        <v>3:13</v>
      </c>
      <c r="H8" s="8" t="s">
        <v>7</v>
      </c>
      <c r="I8" s="7" t="str">
        <f ca="1">INDIRECT(ADDRESS(19,6))&amp;":"&amp;INDIRECT(ADDRESS(19,7))</f>
        <v>0:13</v>
      </c>
      <c r="J8" s="11" t="str">
        <f ca="1">INDIRECT(ADDRESS(22,7))&amp;":"&amp;INDIRECT(ADDRESS(22,6))</f>
        <v>13:5</v>
      </c>
      <c r="K8" s="89">
        <f ca="1">IF(COUNT(F9:J9)=0,"",COUNTIF(F9:J9,"&gt;0")+0.5*COUNTIF(F9:J9,0))</f>
        <v>1</v>
      </c>
      <c r="L8" s="17"/>
      <c r="M8" s="91">
        <v>4</v>
      </c>
    </row>
    <row r="9" spans="2:14" ht="24" customHeight="1" x14ac:dyDescent="0.25">
      <c r="B9" s="81"/>
      <c r="C9" s="85"/>
      <c r="D9" s="86"/>
      <c r="E9" s="87"/>
      <c r="F9" s="23">
        <f ca="1">IF(LEN(INDIRECT(ADDRESS(ROW()-1, COLUMN())))=1,"",INDIRECT(ADDRESS(26,6))-INDIRECT(ADDRESS(26,7)))</f>
        <v>-5</v>
      </c>
      <c r="G9" s="17">
        <f ca="1">IF(LEN(INDIRECT(ADDRESS(ROW()-1, COLUMN())))=1,"",INDIRECT(ADDRESS(31,7))-INDIRECT(ADDRESS(31,6)))</f>
        <v>-10</v>
      </c>
      <c r="H9" s="15" t="s">
        <v>7</v>
      </c>
      <c r="I9" s="17">
        <f ca="1">IF(LEN(INDIRECT(ADDRESS(ROW()-1, COLUMN())))=1,"",INDIRECT(ADDRESS(19,6))-INDIRECT(ADDRESS(19,7)))</f>
        <v>-13</v>
      </c>
      <c r="J9" s="18">
        <f ca="1">IF(LEN(INDIRECT(ADDRESS(ROW()-1, COLUMN())))=1,"",INDIRECT(ADDRESS(22,7))-INDIRECT(ADDRESS(22,6)))</f>
        <v>8</v>
      </c>
      <c r="K9" s="89"/>
      <c r="L9" s="17">
        <f ca="1">IF(COUNT(F9:J9)=0,"",SUM(F9:J9))</f>
        <v>-20</v>
      </c>
      <c r="M9" s="91"/>
    </row>
    <row r="10" spans="2:14" ht="24" customHeight="1" x14ac:dyDescent="0.25">
      <c r="B10" s="92">
        <v>4</v>
      </c>
      <c r="C10" s="85" t="s">
        <v>46</v>
      </c>
      <c r="D10" s="86"/>
      <c r="E10" s="87"/>
      <c r="F10" s="12" t="str">
        <f ca="1">INDIRECT(ADDRESS(30,7))&amp;":"&amp;INDIRECT(ADDRESS(30,6))</f>
        <v>13:8</v>
      </c>
      <c r="G10" s="7" t="str">
        <f ca="1">INDIRECT(ADDRESS(34,6))&amp;":"&amp;INDIRECT(ADDRESS(34,7))</f>
        <v>10:8</v>
      </c>
      <c r="H10" s="7" t="str">
        <f ca="1">INDIRECT(ADDRESS(19,7))&amp;":"&amp;INDIRECT(ADDRESS(19,6))</f>
        <v>13:0</v>
      </c>
      <c r="I10" s="8" t="s">
        <v>7</v>
      </c>
      <c r="J10" s="11" t="str">
        <f ca="1">INDIRECT(ADDRESS(27,6))&amp;":"&amp;INDIRECT(ADDRESS(27,7))</f>
        <v>13:0</v>
      </c>
      <c r="K10" s="89">
        <f ca="1">IF(COUNT(F11:J11)=0,"",COUNTIF(F11:J11,"&gt;0")+0.5*COUNTIF(F11:J11,0))</f>
        <v>4</v>
      </c>
      <c r="L10" s="17"/>
      <c r="M10" s="91">
        <v>1</v>
      </c>
    </row>
    <row r="11" spans="2:14" ht="24" customHeight="1" x14ac:dyDescent="0.25">
      <c r="B11" s="81"/>
      <c r="C11" s="85"/>
      <c r="D11" s="86"/>
      <c r="E11" s="87"/>
      <c r="F11" s="23">
        <f ca="1">IF(LEN(INDIRECT(ADDRESS(ROW()-1, COLUMN())))=1,"",INDIRECT(ADDRESS(30,7))-INDIRECT(ADDRESS(30,6)))</f>
        <v>5</v>
      </c>
      <c r="G11" s="17">
        <f ca="1">IF(LEN(INDIRECT(ADDRESS(ROW()-1, COLUMN())))=1,"",INDIRECT(ADDRESS(34,6))-INDIRECT(ADDRESS(34,7)))</f>
        <v>2</v>
      </c>
      <c r="H11" s="17">
        <f ca="1">IF(LEN(INDIRECT(ADDRESS(ROW()-1, COLUMN())))=1,"",INDIRECT(ADDRESS(19,7))-INDIRECT(ADDRESS(19,6)))</f>
        <v>13</v>
      </c>
      <c r="I11" s="15" t="s">
        <v>7</v>
      </c>
      <c r="J11" s="18">
        <f ca="1">IF(LEN(INDIRECT(ADDRESS(ROW()-1, COLUMN())))=1,"",INDIRECT(ADDRESS(27,6))-INDIRECT(ADDRESS(27,7)))</f>
        <v>13</v>
      </c>
      <c r="K11" s="89"/>
      <c r="L11" s="17"/>
      <c r="M11" s="91"/>
    </row>
    <row r="12" spans="2:14" ht="24" customHeight="1" x14ac:dyDescent="0.25">
      <c r="B12" s="92">
        <v>5</v>
      </c>
      <c r="C12" s="85" t="s">
        <v>47</v>
      </c>
      <c r="D12" s="86"/>
      <c r="E12" s="87"/>
      <c r="F12" s="12" t="str">
        <f ca="1">INDIRECT(ADDRESS(35,6))&amp;":"&amp;INDIRECT(ADDRESS(35,7))</f>
        <v>1:13</v>
      </c>
      <c r="G12" s="7" t="str">
        <f ca="1">INDIRECT(ADDRESS(18,7))&amp;":"&amp;INDIRECT(ADDRESS(18,6))</f>
        <v>7:13</v>
      </c>
      <c r="H12" s="7" t="str">
        <f ca="1">INDIRECT(ADDRESS(22,6))&amp;":"&amp;INDIRECT(ADDRESS(22,7))</f>
        <v>5:13</v>
      </c>
      <c r="I12" s="7" t="str">
        <f ca="1">INDIRECT(ADDRESS(27,7))&amp;":"&amp;INDIRECT(ADDRESS(27,6))</f>
        <v>0:13</v>
      </c>
      <c r="J12" s="13" t="s">
        <v>7</v>
      </c>
      <c r="K12" s="89">
        <f ca="1">IF(COUNT(F13:J13)=0,"",COUNTIF(F13:J13,"&gt;0")+0.5*COUNTIF(F13:J13,0))</f>
        <v>0</v>
      </c>
      <c r="L12" s="17"/>
      <c r="M12" s="91">
        <v>5</v>
      </c>
    </row>
    <row r="13" spans="2:14" ht="24" customHeight="1" thickBot="1" x14ac:dyDescent="0.3">
      <c r="B13" s="93"/>
      <c r="C13" s="94"/>
      <c r="D13" s="95"/>
      <c r="E13" s="96"/>
      <c r="F13" s="20">
        <f ca="1">IF(LEN(INDIRECT(ADDRESS(ROW()-1, COLUMN())))=1,"",INDIRECT(ADDRESS(35,6))-INDIRECT(ADDRESS(35,7)))</f>
        <v>-12</v>
      </c>
      <c r="G13" s="19">
        <f ca="1">IF(LEN(INDIRECT(ADDRESS(ROW()-1, COLUMN())))=1,"",INDIRECT(ADDRESS(18,7))-INDIRECT(ADDRESS(18,6)))</f>
        <v>-6</v>
      </c>
      <c r="H13" s="19">
        <f ca="1">IF(LEN(INDIRECT(ADDRESS(ROW()-1, COLUMN())))=1,"",INDIRECT(ADDRESS(22,6))-INDIRECT(ADDRESS(22,7)))</f>
        <v>-8</v>
      </c>
      <c r="I13" s="19">
        <f ca="1">IF(LEN(INDIRECT(ADDRESS(ROW()-1, COLUMN())))=1,"",INDIRECT(ADDRESS(27,7))-INDIRECT(ADDRESS(27,6)))</f>
        <v>-13</v>
      </c>
      <c r="J13" s="16" t="s">
        <v>7</v>
      </c>
      <c r="K13" s="97"/>
      <c r="L13" s="19">
        <f ca="1">IF(COUNT(F13:J13)=0,"",SUM(F13:J13))</f>
        <v>-39</v>
      </c>
      <c r="M13" s="98"/>
      <c r="N13">
        <v>13</v>
      </c>
    </row>
    <row r="14" spans="2:14" x14ac:dyDescent="0.25">
      <c r="M14"/>
    </row>
    <row r="15" spans="2:14" x14ac:dyDescent="0.25">
      <c r="M15"/>
    </row>
    <row r="16" spans="2:14" x14ac:dyDescent="0.25">
      <c r="M16"/>
    </row>
    <row r="17" spans="1:13" s="67" customFormat="1" ht="30" customHeight="1" thickBot="1" x14ac:dyDescent="0.4">
      <c r="A17" s="66"/>
      <c r="B17" s="99" t="s">
        <v>4</v>
      </c>
      <c r="C17" s="99"/>
      <c r="D17" s="99"/>
      <c r="E17" s="99"/>
      <c r="F17" s="99"/>
      <c r="G17" s="99"/>
      <c r="H17" s="99"/>
      <c r="I17" s="99"/>
      <c r="J17" s="99"/>
      <c r="K17" s="99"/>
      <c r="M17" s="73"/>
    </row>
    <row r="18" spans="1:13" s="67" customFormat="1" ht="30" customHeight="1" thickBot="1" x14ac:dyDescent="0.4">
      <c r="A18" s="66"/>
      <c r="B18" s="71">
        <v>2</v>
      </c>
      <c r="C18" s="103" t="str">
        <f ca="1">IF(ISBLANK(INDIRECT(ADDRESS(B18*2+2,3))),"",INDIRECT(ADDRESS(B18*2+2,3)))</f>
        <v>Маркина Елена</v>
      </c>
      <c r="D18" s="103"/>
      <c r="E18" s="104"/>
      <c r="F18" s="68">
        <v>13</v>
      </c>
      <c r="G18" s="69">
        <v>7</v>
      </c>
      <c r="H18" s="105" t="str">
        <f ca="1">IF(ISBLANK(INDIRECT(ADDRESS(K18*2+2,3))),"",INDIRECT(ADDRESS(K18*2+2,3)))</f>
        <v>Николаенко Юлия</v>
      </c>
      <c r="I18" s="103"/>
      <c r="J18" s="103"/>
      <c r="K18" s="71">
        <v>5</v>
      </c>
      <c r="L18" s="70" t="s">
        <v>11</v>
      </c>
      <c r="M18" s="74">
        <v>3</v>
      </c>
    </row>
    <row r="19" spans="1:13" s="67" customFormat="1" ht="30" customHeight="1" thickBot="1" x14ac:dyDescent="0.4">
      <c r="A19" s="66"/>
      <c r="B19" s="71">
        <v>3</v>
      </c>
      <c r="C19" s="103" t="str">
        <f ca="1">IF(ISBLANK(INDIRECT(ADDRESS(B19*2+2,3))),"",INDIRECT(ADDRESS(B19*2+2,3)))</f>
        <v>Серёгина Ольга</v>
      </c>
      <c r="D19" s="103"/>
      <c r="E19" s="104"/>
      <c r="F19" s="68">
        <v>0</v>
      </c>
      <c r="G19" s="69">
        <v>13</v>
      </c>
      <c r="H19" s="105" t="str">
        <f ca="1">IF(ISBLANK(INDIRECT(ADDRESS(K19*2+2,3))),"",INDIRECT(ADDRESS(K19*2+2,3)))</f>
        <v>Сапронова Мария</v>
      </c>
      <c r="I19" s="103"/>
      <c r="J19" s="103"/>
      <c r="K19" s="71">
        <v>4</v>
      </c>
      <c r="L19" s="70" t="s">
        <v>11</v>
      </c>
      <c r="M19" s="74">
        <v>4</v>
      </c>
    </row>
    <row r="20" spans="1:13" s="67" customFormat="1" ht="30" customHeight="1" x14ac:dyDescent="0.35">
      <c r="A20" s="66"/>
      <c r="M20" s="72"/>
    </row>
    <row r="21" spans="1:13" s="67" customFormat="1" ht="30" customHeight="1" thickBot="1" x14ac:dyDescent="0.4">
      <c r="A21" s="66"/>
      <c r="B21" s="99" t="s">
        <v>5</v>
      </c>
      <c r="C21" s="99"/>
      <c r="D21" s="99"/>
      <c r="E21" s="99"/>
      <c r="F21" s="99"/>
      <c r="G21" s="99"/>
      <c r="H21" s="99"/>
      <c r="I21" s="99"/>
      <c r="J21" s="99"/>
      <c r="K21" s="99"/>
      <c r="M21" s="72"/>
    </row>
    <row r="22" spans="1:13" s="67" customFormat="1" ht="30" customHeight="1" thickBot="1" x14ac:dyDescent="0.4">
      <c r="A22" s="66"/>
      <c r="B22" s="71">
        <v>5</v>
      </c>
      <c r="C22" s="103" t="str">
        <f ca="1">IF(ISBLANK(INDIRECT(ADDRESS(B22*2+2,3))),"",INDIRECT(ADDRESS(B22*2+2,3)))</f>
        <v>Николаенко Юлия</v>
      </c>
      <c r="D22" s="103"/>
      <c r="E22" s="104"/>
      <c r="F22" s="68">
        <v>5</v>
      </c>
      <c r="G22" s="69">
        <v>13</v>
      </c>
      <c r="H22" s="105" t="str">
        <f ca="1">IF(ISBLANK(INDIRECT(ADDRESS(K22*2+2,3))),"",INDIRECT(ADDRESS(K22*2+2,3)))</f>
        <v>Серёгина Ольга</v>
      </c>
      <c r="I22" s="103"/>
      <c r="J22" s="103"/>
      <c r="K22" s="71">
        <v>3</v>
      </c>
      <c r="L22" s="70" t="s">
        <v>11</v>
      </c>
      <c r="M22" s="74">
        <v>5</v>
      </c>
    </row>
    <row r="23" spans="1:13" s="67" customFormat="1" ht="30" customHeight="1" thickBot="1" x14ac:dyDescent="0.4">
      <c r="A23" s="66"/>
      <c r="B23" s="71">
        <v>1</v>
      </c>
      <c r="C23" s="103" t="str">
        <f ca="1">IF(ISBLANK(INDIRECT(ADDRESS(B23*2+2,3))),"",INDIRECT(ADDRESS(B23*2+2,3)))</f>
        <v>Дегтярёва Лариса</v>
      </c>
      <c r="D23" s="103"/>
      <c r="E23" s="104"/>
      <c r="F23" s="68">
        <v>10</v>
      </c>
      <c r="G23" s="69">
        <v>7</v>
      </c>
      <c r="H23" s="105" t="str">
        <f ca="1">IF(ISBLANK(INDIRECT(ADDRESS(K23*2+2,3))),"",INDIRECT(ADDRESS(K23*2+2,3)))</f>
        <v>Маркина Елена</v>
      </c>
      <c r="I23" s="103"/>
      <c r="J23" s="103"/>
      <c r="K23" s="71">
        <v>2</v>
      </c>
      <c r="L23" s="70" t="s">
        <v>11</v>
      </c>
      <c r="M23" s="74">
        <v>6</v>
      </c>
    </row>
    <row r="24" spans="1:13" s="67" customFormat="1" ht="30" customHeight="1" x14ac:dyDescent="0.35">
      <c r="A24" s="66"/>
      <c r="M24" s="72"/>
    </row>
    <row r="25" spans="1:13" s="67" customFormat="1" ht="30" customHeight="1" thickBot="1" x14ac:dyDescent="0.4">
      <c r="A25" s="66"/>
      <c r="B25" s="99" t="s">
        <v>6</v>
      </c>
      <c r="C25" s="99"/>
      <c r="D25" s="99"/>
      <c r="E25" s="99"/>
      <c r="F25" s="99"/>
      <c r="G25" s="99"/>
      <c r="H25" s="99"/>
      <c r="I25" s="99"/>
      <c r="J25" s="99"/>
      <c r="K25" s="99"/>
      <c r="M25" s="72"/>
    </row>
    <row r="26" spans="1:13" s="67" customFormat="1" ht="30" customHeight="1" thickBot="1" x14ac:dyDescent="0.4">
      <c r="A26" s="66"/>
      <c r="B26" s="71">
        <v>3</v>
      </c>
      <c r="C26" s="103" t="str">
        <f ca="1">IF(ISBLANK(INDIRECT(ADDRESS(B26*2+2,3))),"",INDIRECT(ADDRESS(B26*2+2,3)))</f>
        <v>Серёгина Ольга</v>
      </c>
      <c r="D26" s="103"/>
      <c r="E26" s="104"/>
      <c r="F26" s="68">
        <v>6</v>
      </c>
      <c r="G26" s="69">
        <v>11</v>
      </c>
      <c r="H26" s="105" t="str">
        <f ca="1">IF(ISBLANK(INDIRECT(ADDRESS(K26*2+2,3))),"",INDIRECT(ADDRESS(K26*2+2,3)))</f>
        <v>Дегтярёва Лариса</v>
      </c>
      <c r="I26" s="103"/>
      <c r="J26" s="103"/>
      <c r="K26" s="71">
        <v>1</v>
      </c>
      <c r="L26" s="70" t="s">
        <v>11</v>
      </c>
      <c r="M26" s="74">
        <v>1</v>
      </c>
    </row>
    <row r="27" spans="1:13" s="67" customFormat="1" ht="30" customHeight="1" thickBot="1" x14ac:dyDescent="0.4">
      <c r="A27" s="66"/>
      <c r="B27" s="71">
        <v>4</v>
      </c>
      <c r="C27" s="103" t="str">
        <f ca="1">IF(ISBLANK(INDIRECT(ADDRESS(B27*2+2,3))),"",INDIRECT(ADDRESS(B27*2+2,3)))</f>
        <v>Сапронова Мария</v>
      </c>
      <c r="D27" s="103"/>
      <c r="E27" s="104"/>
      <c r="F27" s="68">
        <v>13</v>
      </c>
      <c r="G27" s="69">
        <v>0</v>
      </c>
      <c r="H27" s="105" t="str">
        <f ca="1">IF(ISBLANK(INDIRECT(ADDRESS(K27*2+2,3))),"",INDIRECT(ADDRESS(K27*2+2,3)))</f>
        <v>Николаенко Юлия</v>
      </c>
      <c r="I27" s="103"/>
      <c r="J27" s="103"/>
      <c r="K27" s="71">
        <v>5</v>
      </c>
      <c r="L27" s="70" t="s">
        <v>11</v>
      </c>
      <c r="M27" s="74">
        <v>2</v>
      </c>
    </row>
    <row r="28" spans="1:13" s="67" customFormat="1" ht="30" customHeight="1" x14ac:dyDescent="0.35">
      <c r="A28" s="66"/>
      <c r="M28" s="72"/>
    </row>
    <row r="29" spans="1:13" s="67" customFormat="1" ht="30" customHeight="1" thickBot="1" x14ac:dyDescent="0.4">
      <c r="A29" s="66"/>
      <c r="B29" s="99" t="s">
        <v>8</v>
      </c>
      <c r="C29" s="99"/>
      <c r="D29" s="99"/>
      <c r="E29" s="99"/>
      <c r="F29" s="99"/>
      <c r="G29" s="99"/>
      <c r="H29" s="99"/>
      <c r="I29" s="99"/>
      <c r="J29" s="99"/>
      <c r="K29" s="99"/>
      <c r="M29" s="72"/>
    </row>
    <row r="30" spans="1:13" s="67" customFormat="1" ht="30" customHeight="1" thickBot="1" x14ac:dyDescent="0.4">
      <c r="A30" s="66"/>
      <c r="B30" s="71">
        <v>1</v>
      </c>
      <c r="C30" s="103" t="str">
        <f ca="1">IF(ISBLANK(INDIRECT(ADDRESS(B30*2+2,3))),"",INDIRECT(ADDRESS(B30*2+2,3)))</f>
        <v>Дегтярёва Лариса</v>
      </c>
      <c r="D30" s="103"/>
      <c r="E30" s="104"/>
      <c r="F30" s="68">
        <v>8</v>
      </c>
      <c r="G30" s="69">
        <v>13</v>
      </c>
      <c r="H30" s="105" t="str">
        <f ca="1">IF(ISBLANK(INDIRECT(ADDRESS(K30*2+2,3))),"",INDIRECT(ADDRESS(K30*2+2,3)))</f>
        <v>Сапронова Мария</v>
      </c>
      <c r="I30" s="103"/>
      <c r="J30" s="103"/>
      <c r="K30" s="71">
        <v>4</v>
      </c>
      <c r="L30" s="70" t="s">
        <v>11</v>
      </c>
      <c r="M30" s="74">
        <v>3</v>
      </c>
    </row>
    <row r="31" spans="1:13" s="67" customFormat="1" ht="30" customHeight="1" thickBot="1" x14ac:dyDescent="0.4">
      <c r="A31" s="66"/>
      <c r="B31" s="71">
        <v>2</v>
      </c>
      <c r="C31" s="103" t="str">
        <f ca="1">IF(ISBLANK(INDIRECT(ADDRESS(B31*2+2,3))),"",INDIRECT(ADDRESS(B31*2+2,3)))</f>
        <v>Маркина Елена</v>
      </c>
      <c r="D31" s="103"/>
      <c r="E31" s="104"/>
      <c r="F31" s="68">
        <v>13</v>
      </c>
      <c r="G31" s="69">
        <v>3</v>
      </c>
      <c r="H31" s="105" t="str">
        <f ca="1">IF(ISBLANK(INDIRECT(ADDRESS(K31*2+2,3))),"",INDIRECT(ADDRESS(K31*2+2,3)))</f>
        <v>Серёгина Ольга</v>
      </c>
      <c r="I31" s="103"/>
      <c r="J31" s="103"/>
      <c r="K31" s="71">
        <v>3</v>
      </c>
      <c r="L31" s="70" t="s">
        <v>11</v>
      </c>
      <c r="M31" s="74">
        <v>4</v>
      </c>
    </row>
    <row r="32" spans="1:13" s="67" customFormat="1" ht="30" customHeight="1" x14ac:dyDescent="0.35">
      <c r="A32" s="66"/>
      <c r="M32" s="72"/>
    </row>
    <row r="33" spans="1:13" s="67" customFormat="1" ht="30" customHeight="1" thickBot="1" x14ac:dyDescent="0.4">
      <c r="A33" s="66"/>
      <c r="B33" s="99" t="s">
        <v>9</v>
      </c>
      <c r="C33" s="99"/>
      <c r="D33" s="99"/>
      <c r="E33" s="99"/>
      <c r="F33" s="99"/>
      <c r="G33" s="99"/>
      <c r="H33" s="99"/>
      <c r="I33" s="99"/>
      <c r="J33" s="99"/>
      <c r="K33" s="99"/>
      <c r="M33" s="72"/>
    </row>
    <row r="34" spans="1:13" s="67" customFormat="1" ht="30" customHeight="1" thickBot="1" x14ac:dyDescent="0.4">
      <c r="A34" s="66"/>
      <c r="B34" s="71">
        <v>4</v>
      </c>
      <c r="C34" s="103" t="str">
        <f ca="1">IF(ISBLANK(INDIRECT(ADDRESS(B34*2+2,3))),"",INDIRECT(ADDRESS(B34*2+2,3)))</f>
        <v>Сапронова Мария</v>
      </c>
      <c r="D34" s="103"/>
      <c r="E34" s="104"/>
      <c r="F34" s="68">
        <v>10</v>
      </c>
      <c r="G34" s="69">
        <v>8</v>
      </c>
      <c r="H34" s="105" t="str">
        <f ca="1">IF(ISBLANK(INDIRECT(ADDRESS(K34*2+2,3))),"",INDIRECT(ADDRESS(K34*2+2,3)))</f>
        <v>Маркина Елена</v>
      </c>
      <c r="I34" s="103"/>
      <c r="J34" s="103"/>
      <c r="K34" s="71">
        <v>2</v>
      </c>
      <c r="L34" s="70" t="s">
        <v>11</v>
      </c>
      <c r="M34" s="74">
        <v>5</v>
      </c>
    </row>
    <row r="35" spans="1:13" s="67" customFormat="1" ht="30" customHeight="1" thickBot="1" x14ac:dyDescent="0.4">
      <c r="A35" s="66"/>
      <c r="B35" s="71">
        <v>5</v>
      </c>
      <c r="C35" s="103" t="str">
        <f ca="1">IF(ISBLANK(INDIRECT(ADDRESS(B35*2+2,3))),"",INDIRECT(ADDRESS(B35*2+2,3)))</f>
        <v>Николаенко Юлия</v>
      </c>
      <c r="D35" s="103"/>
      <c r="E35" s="104"/>
      <c r="F35" s="68">
        <v>1</v>
      </c>
      <c r="G35" s="69">
        <v>13</v>
      </c>
      <c r="H35" s="105" t="str">
        <f ca="1">IF(ISBLANK(INDIRECT(ADDRESS(K35*2+2,3))),"",INDIRECT(ADDRESS(K35*2+2,3)))</f>
        <v>Дегтярёва Лариса</v>
      </c>
      <c r="I35" s="103"/>
      <c r="J35" s="103"/>
      <c r="K35" s="71">
        <v>1</v>
      </c>
      <c r="L35" s="70" t="s">
        <v>11</v>
      </c>
      <c r="M35" s="74">
        <v>6</v>
      </c>
    </row>
    <row r="38" spans="1:13" ht="21" x14ac:dyDescent="0.35">
      <c r="B38" s="132" t="s">
        <v>58</v>
      </c>
      <c r="C38" s="132"/>
      <c r="D38" s="132"/>
      <c r="E38" s="132"/>
      <c r="F38" s="132"/>
      <c r="G38" s="132"/>
      <c r="H38" s="133"/>
    </row>
    <row r="39" spans="1:13" ht="21" x14ac:dyDescent="0.35">
      <c r="B39" s="132"/>
      <c r="C39" s="132"/>
      <c r="D39" s="132"/>
      <c r="E39" s="132"/>
      <c r="F39" s="132"/>
      <c r="G39" s="132"/>
      <c r="H39" s="133"/>
    </row>
    <row r="40" spans="1:13" ht="21" x14ac:dyDescent="0.35">
      <c r="B40" s="132"/>
      <c r="C40" s="132"/>
      <c r="D40" s="132"/>
      <c r="E40" s="132"/>
      <c r="F40" s="132"/>
      <c r="G40" s="132"/>
      <c r="H40" s="133"/>
    </row>
    <row r="41" spans="1:13" ht="21" x14ac:dyDescent="0.35">
      <c r="B41" s="132" t="s">
        <v>59</v>
      </c>
      <c r="C41" s="132"/>
      <c r="D41" s="132"/>
      <c r="E41" s="132"/>
      <c r="F41" s="132"/>
      <c r="G41" s="132"/>
      <c r="H41" s="133"/>
    </row>
  </sheetData>
  <mergeCells count="47">
    <mergeCell ref="B33:K33"/>
    <mergeCell ref="C34:E34"/>
    <mergeCell ref="H34:J34"/>
    <mergeCell ref="C35:E35"/>
    <mergeCell ref="H35:J35"/>
    <mergeCell ref="B1:M1"/>
    <mergeCell ref="C27:E27"/>
    <mergeCell ref="H27:J27"/>
    <mergeCell ref="B29:K29"/>
    <mergeCell ref="C30:E30"/>
    <mergeCell ref="H30:J30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B17:K17"/>
    <mergeCell ref="C18:E18"/>
    <mergeCell ref="H18:J18"/>
    <mergeCell ref="C19:E19"/>
    <mergeCell ref="H19:J1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6:B7"/>
    <mergeCell ref="C6:E7"/>
    <mergeCell ref="K6:K7"/>
    <mergeCell ref="M6:M7"/>
    <mergeCell ref="B8:B9"/>
    <mergeCell ref="C8:E9"/>
    <mergeCell ref="K8:K9"/>
    <mergeCell ref="M8:M9"/>
    <mergeCell ref="C3:E3"/>
    <mergeCell ref="B4:B5"/>
    <mergeCell ref="C4:E5"/>
    <mergeCell ref="K4:K5"/>
    <mergeCell ref="M4:M5"/>
  </mergeCells>
  <printOptions horizontalCentered="1"/>
  <pageMargins left="0.25" right="0.25" top="0.75" bottom="0.75" header="0.3" footer="0.3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41"/>
  <sheetViews>
    <sheetView topLeftCell="A34" workbookViewId="0">
      <selection activeCell="L7" sqref="L7"/>
    </sheetView>
  </sheetViews>
  <sheetFormatPr defaultRowHeight="15" x14ac:dyDescent="0.25"/>
  <cols>
    <col min="1" max="1" width="4" style="64" customWidth="1"/>
    <col min="2" max="4" width="10.28515625" customWidth="1"/>
    <col min="5" max="5" width="11.7109375" customWidth="1"/>
    <col min="6" max="9" width="10.28515625" customWidth="1"/>
    <col min="10" max="10" width="11.28515625" customWidth="1"/>
    <col min="11" max="12" width="10.28515625" customWidth="1"/>
    <col min="13" max="13" width="10.28515625" style="38" customWidth="1"/>
    <col min="14" max="15" width="10.28515625" customWidth="1"/>
  </cols>
  <sheetData>
    <row r="1" spans="2:13" ht="36" customHeight="1" x14ac:dyDescent="0.25">
      <c r="B1" s="126" t="s">
        <v>18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2:13" ht="15.75" thickBot="1" x14ac:dyDescent="0.3">
      <c r="M2"/>
    </row>
    <row r="3" spans="2:13" ht="30" customHeight="1" thickBot="1" x14ac:dyDescent="0.3">
      <c r="B3" s="25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5" t="s">
        <v>1</v>
      </c>
      <c r="L3" s="1" t="s">
        <v>3</v>
      </c>
      <c r="M3" s="22" t="s">
        <v>2</v>
      </c>
    </row>
    <row r="4" spans="2:13" ht="24" customHeight="1" x14ac:dyDescent="0.25">
      <c r="B4" s="80">
        <v>1</v>
      </c>
      <c r="C4" s="82" t="s">
        <v>48</v>
      </c>
      <c r="D4" s="83"/>
      <c r="E4" s="84"/>
      <c r="F4" s="10" t="s">
        <v>7</v>
      </c>
      <c r="G4" s="6" t="str">
        <f ca="1">INDIRECT(ADDRESS(23,6))&amp;":"&amp;INDIRECT(ADDRESS(23,7))</f>
        <v>13:6</v>
      </c>
      <c r="H4" s="6" t="str">
        <f ca="1">INDIRECT(ADDRESS(26,7))&amp;":"&amp;INDIRECT(ADDRESS(26,6))</f>
        <v>4:13</v>
      </c>
      <c r="I4" s="6" t="str">
        <f ca="1">INDIRECT(ADDRESS(30,6))&amp;":"&amp;INDIRECT(ADDRESS(30,7))</f>
        <v>12:6</v>
      </c>
      <c r="J4" s="21" t="str">
        <f ca="1">INDIRECT(ADDRESS(35,7))&amp;":"&amp;INDIRECT(ADDRESS(35,6))</f>
        <v>13:0</v>
      </c>
      <c r="K4" s="88">
        <f ca="1">IF(COUNT(F5:J5)=0,"",COUNTIF(F5:J5,"&gt;0")+0.5*COUNTIF(F5:J5,0))</f>
        <v>3</v>
      </c>
      <c r="L4" s="24" t="s">
        <v>29</v>
      </c>
      <c r="M4" s="90">
        <v>2</v>
      </c>
    </row>
    <row r="5" spans="2:13" ht="24" customHeight="1" x14ac:dyDescent="0.25">
      <c r="B5" s="81"/>
      <c r="C5" s="85"/>
      <c r="D5" s="86"/>
      <c r="E5" s="87"/>
      <c r="F5" s="14" t="s">
        <v>7</v>
      </c>
      <c r="G5" s="17">
        <f ca="1">IF(LEN(INDIRECT(ADDRESS(ROW()-1, COLUMN())))=1,"",INDIRECT(ADDRESS(23,6))-INDIRECT(ADDRESS(23,7)))</f>
        <v>7</v>
      </c>
      <c r="H5" s="17">
        <f ca="1">IF(LEN(INDIRECT(ADDRESS(ROW()-1, COLUMN())))=1,"",INDIRECT(ADDRESS(26,7))-INDIRECT(ADDRESS(26,6)))</f>
        <v>-9</v>
      </c>
      <c r="I5" s="17">
        <f ca="1">IF(LEN(INDIRECT(ADDRESS(ROW()-1, COLUMN())))=1,"",INDIRECT(ADDRESS(30,6))-INDIRECT(ADDRESS(30,7)))</f>
        <v>6</v>
      </c>
      <c r="J5" s="18">
        <f ca="1">IF(LEN(INDIRECT(ADDRESS(ROW()-1, COLUMN())))=1,"",INDIRECT(ADDRESS(35,7))-INDIRECT(ADDRESS(35,6)))</f>
        <v>13</v>
      </c>
      <c r="K5" s="89"/>
      <c r="L5" s="17"/>
      <c r="M5" s="91"/>
    </row>
    <row r="6" spans="2:13" ht="24" customHeight="1" x14ac:dyDescent="0.25">
      <c r="B6" s="92">
        <v>2</v>
      </c>
      <c r="C6" s="85" t="s">
        <v>49</v>
      </c>
      <c r="D6" s="86"/>
      <c r="E6" s="87"/>
      <c r="F6" s="12" t="str">
        <f ca="1">INDIRECT(ADDRESS(23,7))&amp;":"&amp;INDIRECT(ADDRESS(23,6))</f>
        <v>6:13</v>
      </c>
      <c r="G6" s="8" t="s">
        <v>7</v>
      </c>
      <c r="H6" s="7" t="str">
        <f ca="1">INDIRECT(ADDRESS(31,6))&amp;":"&amp;INDIRECT(ADDRESS(31,7))</f>
        <v>4:13</v>
      </c>
      <c r="I6" s="7" t="str">
        <f ca="1">INDIRECT(ADDRESS(34,7))&amp;":"&amp;INDIRECT(ADDRESS(34,6))</f>
        <v>4:13</v>
      </c>
      <c r="J6" s="11" t="str">
        <f ca="1">INDIRECT(ADDRESS(18,6))&amp;":"&amp;INDIRECT(ADDRESS(18,7))</f>
        <v>13:11</v>
      </c>
      <c r="K6" s="89">
        <f ca="1">IF(COUNT(F7:J7)=0,"",COUNTIF(F7:J7,"&gt;0")+0.5*COUNTIF(F7:J7,0))</f>
        <v>1</v>
      </c>
      <c r="L6" s="17" t="s">
        <v>28</v>
      </c>
      <c r="M6" s="91">
        <v>4</v>
      </c>
    </row>
    <row r="7" spans="2:13" ht="24" customHeight="1" x14ac:dyDescent="0.25">
      <c r="B7" s="81"/>
      <c r="C7" s="85"/>
      <c r="D7" s="86"/>
      <c r="E7" s="87"/>
      <c r="F7" s="23">
        <f ca="1">IF(LEN(INDIRECT(ADDRESS(ROW()-1, COLUMN())))=1,"",INDIRECT(ADDRESS(23,7))-INDIRECT(ADDRESS(23,6)))</f>
        <v>-7</v>
      </c>
      <c r="G7" s="15" t="s">
        <v>7</v>
      </c>
      <c r="H7" s="17">
        <f ca="1">IF(LEN(INDIRECT(ADDRESS(ROW()-1, COLUMN())))=1,"",INDIRECT(ADDRESS(31,6))-INDIRECT(ADDRESS(31,7)))</f>
        <v>-9</v>
      </c>
      <c r="I7" s="17">
        <f ca="1">IF(LEN(INDIRECT(ADDRESS(ROW()-1, COLUMN())))=1,"",INDIRECT(ADDRESS(34,7))-INDIRECT(ADDRESS(34,6)))</f>
        <v>-9</v>
      </c>
      <c r="J7" s="18">
        <f ca="1">IF(LEN(INDIRECT(ADDRESS(ROW()-1, COLUMN())))=1,"",INDIRECT(ADDRESS(18,6))-INDIRECT(ADDRESS(18,7)))</f>
        <v>2</v>
      </c>
      <c r="K7" s="89"/>
      <c r="L7" s="17">
        <f ca="1">IF(COUNT(F7:J7)=0,"",SUM(F7:J7))</f>
        <v>-23</v>
      </c>
      <c r="M7" s="91"/>
    </row>
    <row r="8" spans="2:13" ht="24" customHeight="1" x14ac:dyDescent="0.25">
      <c r="B8" s="92">
        <v>3</v>
      </c>
      <c r="C8" s="85" t="s">
        <v>50</v>
      </c>
      <c r="D8" s="86"/>
      <c r="E8" s="87"/>
      <c r="F8" s="12" t="str">
        <f ca="1">INDIRECT(ADDRESS(26,6))&amp;":"&amp;INDIRECT(ADDRESS(26,7))</f>
        <v>13:4</v>
      </c>
      <c r="G8" s="7" t="str">
        <f ca="1">INDIRECT(ADDRESS(31,7))&amp;":"&amp;INDIRECT(ADDRESS(31,6))</f>
        <v>13:4</v>
      </c>
      <c r="H8" s="8" t="s">
        <v>7</v>
      </c>
      <c r="I8" s="7" t="str">
        <f ca="1">INDIRECT(ADDRESS(19,6))&amp;":"&amp;INDIRECT(ADDRESS(19,7))</f>
        <v>13:8</v>
      </c>
      <c r="J8" s="11" t="str">
        <f ca="1">INDIRECT(ADDRESS(22,7))&amp;":"&amp;INDIRECT(ADDRESS(22,6))</f>
        <v>5:13</v>
      </c>
      <c r="K8" s="89">
        <f ca="1">IF(COUNT(F9:J9)=0,"",COUNTIF(F9:J9,"&gt;0")+0.5*COUNTIF(F9:J9,0))</f>
        <v>3</v>
      </c>
      <c r="L8" s="17" t="s">
        <v>28</v>
      </c>
      <c r="M8" s="91">
        <v>1</v>
      </c>
    </row>
    <row r="9" spans="2:13" ht="24" customHeight="1" x14ac:dyDescent="0.25">
      <c r="B9" s="81"/>
      <c r="C9" s="85"/>
      <c r="D9" s="86"/>
      <c r="E9" s="87"/>
      <c r="F9" s="23">
        <f ca="1">IF(LEN(INDIRECT(ADDRESS(ROW()-1, COLUMN())))=1,"",INDIRECT(ADDRESS(26,6))-INDIRECT(ADDRESS(26,7)))</f>
        <v>9</v>
      </c>
      <c r="G9" s="17">
        <f ca="1">IF(LEN(INDIRECT(ADDRESS(ROW()-1, COLUMN())))=1,"",INDIRECT(ADDRESS(31,7))-INDIRECT(ADDRESS(31,6)))</f>
        <v>9</v>
      </c>
      <c r="H9" s="15" t="s">
        <v>7</v>
      </c>
      <c r="I9" s="17">
        <f ca="1">IF(LEN(INDIRECT(ADDRESS(ROW()-1, COLUMN())))=1,"",INDIRECT(ADDRESS(19,6))-INDIRECT(ADDRESS(19,7)))</f>
        <v>5</v>
      </c>
      <c r="J9" s="18">
        <f ca="1">IF(LEN(INDIRECT(ADDRESS(ROW()-1, COLUMN())))=1,"",INDIRECT(ADDRESS(22,7))-INDIRECT(ADDRESS(22,6)))</f>
        <v>-8</v>
      </c>
      <c r="K9" s="89"/>
      <c r="L9" s="17"/>
      <c r="M9" s="91"/>
    </row>
    <row r="10" spans="2:13" ht="24" customHeight="1" x14ac:dyDescent="0.25">
      <c r="B10" s="92">
        <v>4</v>
      </c>
      <c r="C10" s="85" t="s">
        <v>51</v>
      </c>
      <c r="D10" s="86"/>
      <c r="E10" s="87"/>
      <c r="F10" s="12" t="str">
        <f ca="1">INDIRECT(ADDRESS(30,7))&amp;":"&amp;INDIRECT(ADDRESS(30,6))</f>
        <v>6:12</v>
      </c>
      <c r="G10" s="7" t="str">
        <f ca="1">INDIRECT(ADDRESS(34,6))&amp;":"&amp;INDIRECT(ADDRESS(34,7))</f>
        <v>13:4</v>
      </c>
      <c r="H10" s="7" t="str">
        <f ca="1">INDIRECT(ADDRESS(19,7))&amp;":"&amp;INDIRECT(ADDRESS(19,6))</f>
        <v>8:13</v>
      </c>
      <c r="I10" s="8" t="s">
        <v>7</v>
      </c>
      <c r="J10" s="11" t="str">
        <f ca="1">INDIRECT(ADDRESS(27,6))&amp;":"&amp;INDIRECT(ADDRESS(27,7))</f>
        <v>13:8</v>
      </c>
      <c r="K10" s="89">
        <f ca="1">IF(COUNT(F11:J11)=0,"",COUNTIF(F11:J11,"&gt;0")+0.5*COUNTIF(F11:J11,0))</f>
        <v>2</v>
      </c>
      <c r="L10" s="17"/>
      <c r="M10" s="91">
        <v>3</v>
      </c>
    </row>
    <row r="11" spans="2:13" ht="24" customHeight="1" x14ac:dyDescent="0.25">
      <c r="B11" s="81"/>
      <c r="C11" s="85"/>
      <c r="D11" s="86"/>
      <c r="E11" s="87"/>
      <c r="F11" s="23">
        <f ca="1">IF(LEN(INDIRECT(ADDRESS(ROW()-1, COLUMN())))=1,"",INDIRECT(ADDRESS(30,7))-INDIRECT(ADDRESS(30,6)))</f>
        <v>-6</v>
      </c>
      <c r="G11" s="17">
        <f ca="1">IF(LEN(INDIRECT(ADDRESS(ROW()-1, COLUMN())))=1,"",INDIRECT(ADDRESS(34,6))-INDIRECT(ADDRESS(34,7)))</f>
        <v>9</v>
      </c>
      <c r="H11" s="17">
        <f ca="1">IF(LEN(INDIRECT(ADDRESS(ROW()-1, COLUMN())))=1,"",INDIRECT(ADDRESS(19,7))-INDIRECT(ADDRESS(19,6)))</f>
        <v>-5</v>
      </c>
      <c r="I11" s="15" t="s">
        <v>7</v>
      </c>
      <c r="J11" s="18">
        <f ca="1">IF(LEN(INDIRECT(ADDRESS(ROW()-1, COLUMN())))=1,"",INDIRECT(ADDRESS(27,6))-INDIRECT(ADDRESS(27,7)))</f>
        <v>5</v>
      </c>
      <c r="K11" s="89"/>
      <c r="L11" s="17"/>
      <c r="M11" s="91"/>
    </row>
    <row r="12" spans="2:13" ht="24" customHeight="1" x14ac:dyDescent="0.25">
      <c r="B12" s="92">
        <v>5</v>
      </c>
      <c r="C12" s="85" t="s">
        <v>52</v>
      </c>
      <c r="D12" s="86"/>
      <c r="E12" s="87"/>
      <c r="F12" s="12" t="str">
        <f ca="1">INDIRECT(ADDRESS(35,6))&amp;":"&amp;INDIRECT(ADDRESS(35,7))</f>
        <v>0:13</v>
      </c>
      <c r="G12" s="7" t="str">
        <f ca="1">INDIRECT(ADDRESS(18,7))&amp;":"&amp;INDIRECT(ADDRESS(18,6))</f>
        <v>11:13</v>
      </c>
      <c r="H12" s="7" t="str">
        <f ca="1">INDIRECT(ADDRESS(22,6))&amp;":"&amp;INDIRECT(ADDRESS(22,7))</f>
        <v>13:5</v>
      </c>
      <c r="I12" s="7" t="str">
        <f ca="1">INDIRECT(ADDRESS(27,7))&amp;":"&amp;INDIRECT(ADDRESS(27,6))</f>
        <v>8:13</v>
      </c>
      <c r="J12" s="13" t="s">
        <v>7</v>
      </c>
      <c r="K12" s="89">
        <f ca="1">IF(COUNT(F13:J13)=0,"",COUNTIF(F13:J13,"&gt;0")+0.5*COUNTIF(F13:J13,0))</f>
        <v>1</v>
      </c>
      <c r="L12" s="17" t="s">
        <v>29</v>
      </c>
      <c r="M12" s="91">
        <v>5</v>
      </c>
    </row>
    <row r="13" spans="2:13" ht="24" customHeight="1" thickBot="1" x14ac:dyDescent="0.3">
      <c r="B13" s="93"/>
      <c r="C13" s="94"/>
      <c r="D13" s="95"/>
      <c r="E13" s="96"/>
      <c r="F13" s="20">
        <f ca="1">IF(LEN(INDIRECT(ADDRESS(ROW()-1, COLUMN())))=1,"",INDIRECT(ADDRESS(35,6))-INDIRECT(ADDRESS(35,7)))</f>
        <v>-13</v>
      </c>
      <c r="G13" s="19">
        <f ca="1">IF(LEN(INDIRECT(ADDRESS(ROW()-1, COLUMN())))=1,"",INDIRECT(ADDRESS(18,7))-INDIRECT(ADDRESS(18,6)))</f>
        <v>-2</v>
      </c>
      <c r="H13" s="19">
        <f ca="1">IF(LEN(INDIRECT(ADDRESS(ROW()-1, COLUMN())))=1,"",INDIRECT(ADDRESS(22,6))-INDIRECT(ADDRESS(22,7)))</f>
        <v>8</v>
      </c>
      <c r="I13" s="19">
        <f ca="1">IF(LEN(INDIRECT(ADDRESS(ROW()-1, COLUMN())))=1,"",INDIRECT(ADDRESS(27,7))-INDIRECT(ADDRESS(27,6)))</f>
        <v>-5</v>
      </c>
      <c r="J13" s="16" t="s">
        <v>7</v>
      </c>
      <c r="K13" s="97"/>
      <c r="L13" s="19"/>
      <c r="M13" s="98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67" customFormat="1" ht="30" customHeight="1" thickBot="1" x14ac:dyDescent="0.4">
      <c r="A17" s="66"/>
      <c r="B17" s="99" t="s">
        <v>4</v>
      </c>
      <c r="C17" s="99"/>
      <c r="D17" s="99"/>
      <c r="E17" s="99"/>
      <c r="F17" s="99"/>
      <c r="G17" s="99"/>
      <c r="H17" s="99"/>
      <c r="I17" s="99"/>
      <c r="J17" s="99"/>
      <c r="K17" s="99"/>
      <c r="M17" s="73"/>
    </row>
    <row r="18" spans="1:13" s="67" customFormat="1" ht="30" customHeight="1" thickBot="1" x14ac:dyDescent="0.4">
      <c r="A18" s="66"/>
      <c r="B18" s="71">
        <v>2</v>
      </c>
      <c r="C18" s="103" t="str">
        <f ca="1">IF(ISBLANK(INDIRECT(ADDRESS(B18*2+2,3))),"",INDIRECT(ADDRESS(B18*2+2,3)))</f>
        <v>Пилипенко Ирина</v>
      </c>
      <c r="D18" s="103"/>
      <c r="E18" s="104"/>
      <c r="F18" s="68">
        <v>13</v>
      </c>
      <c r="G18" s="69">
        <v>11</v>
      </c>
      <c r="H18" s="105" t="str">
        <f ca="1">IF(ISBLANK(INDIRECT(ADDRESS(K18*2+2,3))),"",INDIRECT(ADDRESS(K18*2+2,3)))</f>
        <v>Шустваль Наталья</v>
      </c>
      <c r="I18" s="103"/>
      <c r="J18" s="103"/>
      <c r="K18" s="71">
        <v>5</v>
      </c>
      <c r="L18" s="70" t="s">
        <v>11</v>
      </c>
      <c r="M18" s="65">
        <v>5</v>
      </c>
    </row>
    <row r="19" spans="1:13" s="67" customFormat="1" ht="30" customHeight="1" thickBot="1" x14ac:dyDescent="0.4">
      <c r="A19" s="66"/>
      <c r="B19" s="71">
        <v>3</v>
      </c>
      <c r="C19" s="103" t="str">
        <f ca="1">IF(ISBLANK(INDIRECT(ADDRESS(B19*2+2,3))),"",INDIRECT(ADDRESS(B19*2+2,3)))</f>
        <v>Симутина Юлия</v>
      </c>
      <c r="D19" s="103"/>
      <c r="E19" s="104"/>
      <c r="F19" s="68">
        <v>13</v>
      </c>
      <c r="G19" s="69">
        <v>8</v>
      </c>
      <c r="H19" s="105" t="str">
        <f ca="1">IF(ISBLANK(INDIRECT(ADDRESS(K19*2+2,3))),"",INDIRECT(ADDRESS(K19*2+2,3)))</f>
        <v>Погорелова Александра</v>
      </c>
      <c r="I19" s="103"/>
      <c r="J19" s="103"/>
      <c r="K19" s="71">
        <v>4</v>
      </c>
      <c r="L19" s="70" t="s">
        <v>11</v>
      </c>
      <c r="M19" s="65">
        <v>6</v>
      </c>
    </row>
    <row r="20" spans="1:13" s="67" customFormat="1" ht="30" customHeight="1" x14ac:dyDescent="0.35">
      <c r="A20" s="66"/>
      <c r="M20" s="72"/>
    </row>
    <row r="21" spans="1:13" s="67" customFormat="1" ht="30" customHeight="1" thickBot="1" x14ac:dyDescent="0.4">
      <c r="A21" s="66"/>
      <c r="B21" s="99" t="s">
        <v>5</v>
      </c>
      <c r="C21" s="99"/>
      <c r="D21" s="99"/>
      <c r="E21" s="99"/>
      <c r="F21" s="99"/>
      <c r="G21" s="99"/>
      <c r="H21" s="99"/>
      <c r="I21" s="99"/>
      <c r="J21" s="99"/>
      <c r="K21" s="99"/>
      <c r="M21" s="72"/>
    </row>
    <row r="22" spans="1:13" s="67" customFormat="1" ht="30" customHeight="1" thickBot="1" x14ac:dyDescent="0.4">
      <c r="A22" s="66"/>
      <c r="B22" s="71">
        <v>5</v>
      </c>
      <c r="C22" s="103" t="str">
        <f ca="1">IF(ISBLANK(INDIRECT(ADDRESS(B22*2+2,3))),"",INDIRECT(ADDRESS(B22*2+2,3)))</f>
        <v>Шустваль Наталья</v>
      </c>
      <c r="D22" s="103"/>
      <c r="E22" s="104"/>
      <c r="F22" s="68">
        <v>13</v>
      </c>
      <c r="G22" s="69">
        <v>5</v>
      </c>
      <c r="H22" s="105" t="str">
        <f ca="1">IF(ISBLANK(INDIRECT(ADDRESS(K22*2+2,3))),"",INDIRECT(ADDRESS(K22*2+2,3)))</f>
        <v>Симутина Юлия</v>
      </c>
      <c r="I22" s="103"/>
      <c r="J22" s="103"/>
      <c r="K22" s="71">
        <v>3</v>
      </c>
      <c r="L22" s="70" t="s">
        <v>11</v>
      </c>
      <c r="M22" s="65">
        <v>1</v>
      </c>
    </row>
    <row r="23" spans="1:13" s="67" customFormat="1" ht="30" customHeight="1" thickBot="1" x14ac:dyDescent="0.4">
      <c r="A23" s="66"/>
      <c r="B23" s="71">
        <v>1</v>
      </c>
      <c r="C23" s="103" t="str">
        <f ca="1">IF(ISBLANK(INDIRECT(ADDRESS(B23*2+2,3))),"",INDIRECT(ADDRESS(B23*2+2,3)))</f>
        <v>Дегтярёва Мила</v>
      </c>
      <c r="D23" s="103"/>
      <c r="E23" s="104"/>
      <c r="F23" s="68">
        <v>13</v>
      </c>
      <c r="G23" s="69">
        <v>6</v>
      </c>
      <c r="H23" s="105" t="str">
        <f ca="1">IF(ISBLANK(INDIRECT(ADDRESS(K23*2+2,3))),"",INDIRECT(ADDRESS(K23*2+2,3)))</f>
        <v>Пилипенко Ирина</v>
      </c>
      <c r="I23" s="103"/>
      <c r="J23" s="103"/>
      <c r="K23" s="71">
        <v>2</v>
      </c>
      <c r="L23" s="70" t="s">
        <v>11</v>
      </c>
      <c r="M23" s="65">
        <v>2</v>
      </c>
    </row>
    <row r="24" spans="1:13" s="67" customFormat="1" ht="30" customHeight="1" x14ac:dyDescent="0.35">
      <c r="A24" s="66"/>
      <c r="M24" s="72"/>
    </row>
    <row r="25" spans="1:13" s="67" customFormat="1" ht="30" customHeight="1" thickBot="1" x14ac:dyDescent="0.4">
      <c r="A25" s="66"/>
      <c r="B25" s="99" t="s">
        <v>6</v>
      </c>
      <c r="C25" s="99"/>
      <c r="D25" s="99"/>
      <c r="E25" s="99"/>
      <c r="F25" s="99"/>
      <c r="G25" s="99"/>
      <c r="H25" s="99"/>
      <c r="I25" s="99"/>
      <c r="J25" s="99"/>
      <c r="K25" s="99"/>
      <c r="M25" s="72"/>
    </row>
    <row r="26" spans="1:13" s="67" customFormat="1" ht="30" customHeight="1" thickBot="1" x14ac:dyDescent="0.4">
      <c r="A26" s="66"/>
      <c r="B26" s="71">
        <v>3</v>
      </c>
      <c r="C26" s="103" t="str">
        <f ca="1">IF(ISBLANK(INDIRECT(ADDRESS(B26*2+2,3))),"",INDIRECT(ADDRESS(B26*2+2,3)))</f>
        <v>Симутина Юлия</v>
      </c>
      <c r="D26" s="103"/>
      <c r="E26" s="104"/>
      <c r="F26" s="68">
        <v>13</v>
      </c>
      <c r="G26" s="69">
        <v>4</v>
      </c>
      <c r="H26" s="105" t="str">
        <f ca="1">IF(ISBLANK(INDIRECT(ADDRESS(K26*2+2,3))),"",INDIRECT(ADDRESS(K26*2+2,3)))</f>
        <v>Дегтярёва Мила</v>
      </c>
      <c r="I26" s="103"/>
      <c r="J26" s="103"/>
      <c r="K26" s="71">
        <v>1</v>
      </c>
      <c r="L26" s="70" t="s">
        <v>11</v>
      </c>
      <c r="M26" s="65">
        <v>3</v>
      </c>
    </row>
    <row r="27" spans="1:13" s="67" customFormat="1" ht="30" customHeight="1" thickBot="1" x14ac:dyDescent="0.4">
      <c r="A27" s="66"/>
      <c r="B27" s="71">
        <v>4</v>
      </c>
      <c r="C27" s="103" t="str">
        <f ca="1">IF(ISBLANK(INDIRECT(ADDRESS(B27*2+2,3))),"",INDIRECT(ADDRESS(B27*2+2,3)))</f>
        <v>Погорелова Александра</v>
      </c>
      <c r="D27" s="103"/>
      <c r="E27" s="104"/>
      <c r="F27" s="68">
        <v>13</v>
      </c>
      <c r="G27" s="69">
        <v>8</v>
      </c>
      <c r="H27" s="105" t="str">
        <f ca="1">IF(ISBLANK(INDIRECT(ADDRESS(K27*2+2,3))),"",INDIRECT(ADDRESS(K27*2+2,3)))</f>
        <v>Шустваль Наталья</v>
      </c>
      <c r="I27" s="103"/>
      <c r="J27" s="103"/>
      <c r="K27" s="71">
        <v>5</v>
      </c>
      <c r="L27" s="70" t="s">
        <v>11</v>
      </c>
      <c r="M27" s="65">
        <v>4</v>
      </c>
    </row>
    <row r="28" spans="1:13" s="67" customFormat="1" ht="30" customHeight="1" x14ac:dyDescent="0.35">
      <c r="A28" s="66"/>
      <c r="M28" s="72"/>
    </row>
    <row r="29" spans="1:13" s="67" customFormat="1" ht="30" customHeight="1" thickBot="1" x14ac:dyDescent="0.4">
      <c r="A29" s="66"/>
      <c r="B29" s="99" t="s">
        <v>8</v>
      </c>
      <c r="C29" s="99"/>
      <c r="D29" s="99"/>
      <c r="E29" s="99"/>
      <c r="F29" s="99"/>
      <c r="G29" s="99"/>
      <c r="H29" s="99"/>
      <c r="I29" s="99"/>
      <c r="J29" s="99"/>
      <c r="K29" s="99"/>
      <c r="M29" s="72"/>
    </row>
    <row r="30" spans="1:13" s="67" customFormat="1" ht="30" customHeight="1" thickBot="1" x14ac:dyDescent="0.4">
      <c r="A30" s="66"/>
      <c r="B30" s="71">
        <v>1</v>
      </c>
      <c r="C30" s="103" t="str">
        <f ca="1">IF(ISBLANK(INDIRECT(ADDRESS(B30*2+2,3))),"",INDIRECT(ADDRESS(B30*2+2,3)))</f>
        <v>Дегтярёва Мила</v>
      </c>
      <c r="D30" s="103"/>
      <c r="E30" s="104"/>
      <c r="F30" s="68">
        <v>12</v>
      </c>
      <c r="G30" s="69">
        <v>6</v>
      </c>
      <c r="H30" s="105" t="str">
        <f ca="1">IF(ISBLANK(INDIRECT(ADDRESS(K30*2+2,3))),"",INDIRECT(ADDRESS(K30*2+2,3)))</f>
        <v>Погорелова Александра</v>
      </c>
      <c r="I30" s="103"/>
      <c r="J30" s="103"/>
      <c r="K30" s="71">
        <v>4</v>
      </c>
      <c r="L30" s="70" t="s">
        <v>11</v>
      </c>
      <c r="M30" s="65">
        <v>5</v>
      </c>
    </row>
    <row r="31" spans="1:13" s="67" customFormat="1" ht="30" customHeight="1" thickBot="1" x14ac:dyDescent="0.4">
      <c r="A31" s="66"/>
      <c r="B31" s="71">
        <v>2</v>
      </c>
      <c r="C31" s="103" t="str">
        <f ca="1">IF(ISBLANK(INDIRECT(ADDRESS(B31*2+2,3))),"",INDIRECT(ADDRESS(B31*2+2,3)))</f>
        <v>Пилипенко Ирина</v>
      </c>
      <c r="D31" s="103"/>
      <c r="E31" s="104"/>
      <c r="F31" s="68">
        <v>4</v>
      </c>
      <c r="G31" s="69">
        <v>13</v>
      </c>
      <c r="H31" s="105" t="str">
        <f ca="1">IF(ISBLANK(INDIRECT(ADDRESS(K31*2+2,3))),"",INDIRECT(ADDRESS(K31*2+2,3)))</f>
        <v>Симутина Юлия</v>
      </c>
      <c r="I31" s="103"/>
      <c r="J31" s="103"/>
      <c r="K31" s="71">
        <v>3</v>
      </c>
      <c r="L31" s="70" t="s">
        <v>11</v>
      </c>
      <c r="M31" s="65">
        <v>6</v>
      </c>
    </row>
    <row r="32" spans="1:13" s="67" customFormat="1" ht="30" customHeight="1" x14ac:dyDescent="0.35">
      <c r="A32" s="66"/>
      <c r="M32" s="72"/>
    </row>
    <row r="33" spans="1:13" s="67" customFormat="1" ht="30" customHeight="1" thickBot="1" x14ac:dyDescent="0.4">
      <c r="A33" s="66"/>
      <c r="B33" s="99" t="s">
        <v>9</v>
      </c>
      <c r="C33" s="99"/>
      <c r="D33" s="99"/>
      <c r="E33" s="99"/>
      <c r="F33" s="99"/>
      <c r="G33" s="99"/>
      <c r="H33" s="99"/>
      <c r="I33" s="99"/>
      <c r="J33" s="99"/>
      <c r="K33" s="99"/>
      <c r="M33" s="72"/>
    </row>
    <row r="34" spans="1:13" s="67" customFormat="1" ht="30" customHeight="1" thickBot="1" x14ac:dyDescent="0.4">
      <c r="A34" s="66"/>
      <c r="B34" s="71">
        <v>4</v>
      </c>
      <c r="C34" s="103" t="str">
        <f ca="1">IF(ISBLANK(INDIRECT(ADDRESS(B34*2+2,3))),"",INDIRECT(ADDRESS(B34*2+2,3)))</f>
        <v>Погорелова Александра</v>
      </c>
      <c r="D34" s="103"/>
      <c r="E34" s="104"/>
      <c r="F34" s="68">
        <v>13</v>
      </c>
      <c r="G34" s="69">
        <v>4</v>
      </c>
      <c r="H34" s="105" t="str">
        <f ca="1">IF(ISBLANK(INDIRECT(ADDRESS(K34*2+2,3))),"",INDIRECT(ADDRESS(K34*2+2,3)))</f>
        <v>Пилипенко Ирина</v>
      </c>
      <c r="I34" s="103"/>
      <c r="J34" s="103"/>
      <c r="K34" s="71">
        <v>2</v>
      </c>
      <c r="L34" s="70" t="s">
        <v>11</v>
      </c>
      <c r="M34" s="65">
        <v>1</v>
      </c>
    </row>
    <row r="35" spans="1:13" s="67" customFormat="1" ht="30" customHeight="1" thickBot="1" x14ac:dyDescent="0.4">
      <c r="A35" s="66"/>
      <c r="B35" s="71">
        <v>5</v>
      </c>
      <c r="C35" s="103" t="str">
        <f ca="1">IF(ISBLANK(INDIRECT(ADDRESS(B35*2+2,3))),"",INDIRECT(ADDRESS(B35*2+2,3)))</f>
        <v>Шустваль Наталья</v>
      </c>
      <c r="D35" s="103"/>
      <c r="E35" s="104"/>
      <c r="F35" s="68">
        <v>0</v>
      </c>
      <c r="G35" s="69">
        <v>13</v>
      </c>
      <c r="H35" s="105" t="str">
        <f ca="1">IF(ISBLANK(INDIRECT(ADDRESS(K35*2+2,3))),"",INDIRECT(ADDRESS(K35*2+2,3)))</f>
        <v>Дегтярёва Мила</v>
      </c>
      <c r="I35" s="103"/>
      <c r="J35" s="103"/>
      <c r="K35" s="71">
        <v>1</v>
      </c>
      <c r="L35" s="70" t="s">
        <v>11</v>
      </c>
      <c r="M35" s="65">
        <v>2</v>
      </c>
    </row>
    <row r="38" spans="1:13" ht="21" x14ac:dyDescent="0.35">
      <c r="B38" s="132" t="s">
        <v>58</v>
      </c>
      <c r="C38" s="132"/>
      <c r="D38" s="132"/>
      <c r="E38" s="132"/>
      <c r="F38" s="132"/>
      <c r="G38" s="132"/>
      <c r="H38" s="133"/>
    </row>
    <row r="39" spans="1:13" ht="21" x14ac:dyDescent="0.35">
      <c r="B39" s="132"/>
      <c r="C39" s="132"/>
      <c r="D39" s="132"/>
      <c r="E39" s="132"/>
      <c r="F39" s="132"/>
      <c r="G39" s="132"/>
      <c r="H39" s="133"/>
    </row>
    <row r="40" spans="1:13" ht="21" x14ac:dyDescent="0.35">
      <c r="B40" s="132"/>
      <c r="C40" s="132"/>
      <c r="D40" s="132"/>
      <c r="E40" s="132"/>
      <c r="F40" s="132"/>
      <c r="G40" s="132"/>
      <c r="H40" s="133"/>
    </row>
    <row r="41" spans="1:13" ht="21" x14ac:dyDescent="0.35">
      <c r="B41" s="132" t="s">
        <v>59</v>
      </c>
      <c r="C41" s="132"/>
      <c r="D41" s="132"/>
      <c r="E41" s="132"/>
      <c r="F41" s="132"/>
      <c r="G41" s="132"/>
      <c r="H41" s="133"/>
    </row>
  </sheetData>
  <mergeCells count="47"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  <mergeCell ref="M12:M13"/>
    <mergeCell ref="B17:K17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C18:E18"/>
    <mergeCell ref="H18:J18"/>
    <mergeCell ref="B8:B9"/>
    <mergeCell ref="C8:E9"/>
    <mergeCell ref="K8:K9"/>
    <mergeCell ref="B12:B13"/>
    <mergeCell ref="C12:E13"/>
    <mergeCell ref="K12:K13"/>
    <mergeCell ref="M8:M9"/>
    <mergeCell ref="B10:B11"/>
    <mergeCell ref="C10:E11"/>
    <mergeCell ref="K10:K11"/>
    <mergeCell ref="M10:M11"/>
    <mergeCell ref="B6:B7"/>
    <mergeCell ref="C6:E7"/>
    <mergeCell ref="K6:K7"/>
    <mergeCell ref="M6:M7"/>
    <mergeCell ref="C3:E3"/>
    <mergeCell ref="B4:B5"/>
    <mergeCell ref="C4:E5"/>
    <mergeCell ref="K4:K5"/>
    <mergeCell ref="M4:M5"/>
    <mergeCell ref="B1:M1"/>
  </mergeCells>
  <printOptions horizontalCentered="1"/>
  <pageMargins left="0.25" right="0.25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22" zoomScaleNormal="100" workbookViewId="0">
      <selection activeCell="J39" sqref="J39"/>
    </sheetView>
  </sheetViews>
  <sheetFormatPr defaultRowHeight="15" customHeight="1" x14ac:dyDescent="0.25"/>
  <cols>
    <col min="1" max="1" width="9.140625" style="76"/>
    <col min="2" max="15" width="9.140625" style="29" customWidth="1"/>
    <col min="16" max="16384" width="9.140625" style="29"/>
  </cols>
  <sheetData>
    <row r="1" spans="2:15" ht="59.25" customHeight="1" x14ac:dyDescent="0.25">
      <c r="B1" s="126" t="s">
        <v>55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2:15" ht="15" customHeight="1" x14ac:dyDescent="0.25">
      <c r="C2" s="36"/>
    </row>
    <row r="3" spans="2:15" ht="15" customHeight="1" x14ac:dyDescent="0.25">
      <c r="C3" s="36"/>
    </row>
    <row r="4" spans="2:15" ht="15" customHeight="1" x14ac:dyDescent="0.25">
      <c r="B4" s="120" t="s">
        <v>40</v>
      </c>
      <c r="C4" s="121"/>
      <c r="D4" s="28">
        <v>11</v>
      </c>
      <c r="E4" s="30"/>
    </row>
    <row r="5" spans="2:15" ht="15" customHeight="1" x14ac:dyDescent="0.25">
      <c r="C5" s="36"/>
      <c r="E5" s="31"/>
    </row>
    <row r="6" spans="2:15" ht="15" customHeight="1" x14ac:dyDescent="0.25">
      <c r="B6" s="35" t="s">
        <v>11</v>
      </c>
      <c r="C6" s="36">
        <v>1</v>
      </c>
      <c r="E6" s="32"/>
      <c r="F6" s="122" t="str">
        <f>IF(ISBLANK(D4),"",IF(D4&gt;D8,B4,B8))</f>
        <v>Костяная Евгения</v>
      </c>
      <c r="G6" s="121"/>
      <c r="H6" s="28">
        <v>12</v>
      </c>
      <c r="I6" s="30"/>
    </row>
    <row r="7" spans="2:15" ht="15" customHeight="1" x14ac:dyDescent="0.25">
      <c r="C7" s="36"/>
      <c r="E7" s="32"/>
      <c r="I7" s="31"/>
    </row>
    <row r="8" spans="2:15" ht="15" customHeight="1" x14ac:dyDescent="0.25">
      <c r="B8" s="120" t="s">
        <v>51</v>
      </c>
      <c r="C8" s="121"/>
      <c r="D8" s="28">
        <v>7</v>
      </c>
      <c r="E8" s="33"/>
      <c r="I8" s="32"/>
    </row>
    <row r="9" spans="2:15" ht="15" customHeight="1" x14ac:dyDescent="0.25">
      <c r="C9" s="36"/>
      <c r="I9" s="32"/>
    </row>
    <row r="10" spans="2:15" ht="15" customHeight="1" x14ac:dyDescent="0.25">
      <c r="C10" s="36"/>
      <c r="G10" s="35" t="s">
        <v>11</v>
      </c>
      <c r="H10" s="36">
        <v>2</v>
      </c>
      <c r="I10" s="32"/>
      <c r="J10" s="122" t="str">
        <f>IF(ISBLANK(H6),"",IF(H6&gt;H14,F6,F14))</f>
        <v>Костяная Евгения</v>
      </c>
      <c r="K10" s="120"/>
      <c r="L10" s="28">
        <v>3</v>
      </c>
      <c r="M10" s="30"/>
    </row>
    <row r="11" spans="2:15" ht="15" customHeight="1" x14ac:dyDescent="0.25">
      <c r="C11" s="36"/>
      <c r="I11" s="32"/>
      <c r="M11" s="31"/>
    </row>
    <row r="12" spans="2:15" ht="15" customHeight="1" x14ac:dyDescent="0.25">
      <c r="B12" s="120" t="s">
        <v>48</v>
      </c>
      <c r="C12" s="121"/>
      <c r="D12" s="28">
        <v>8</v>
      </c>
      <c r="E12" s="30"/>
      <c r="I12" s="32"/>
      <c r="M12" s="32"/>
    </row>
    <row r="13" spans="2:15" ht="15" customHeight="1" x14ac:dyDescent="0.25">
      <c r="C13" s="36"/>
      <c r="E13" s="31"/>
      <c r="I13" s="32"/>
      <c r="M13" s="32"/>
    </row>
    <row r="14" spans="2:15" ht="15" customHeight="1" x14ac:dyDescent="0.25">
      <c r="B14" s="35" t="s">
        <v>11</v>
      </c>
      <c r="C14" s="36">
        <v>2</v>
      </c>
      <c r="E14" s="32"/>
      <c r="F14" s="122" t="str">
        <f>IF(ISBLANK(D12),"",IF(D12&gt;D16,B12,B16))</f>
        <v>Дегтярёва Лариса</v>
      </c>
      <c r="G14" s="121"/>
      <c r="H14" s="28">
        <v>6</v>
      </c>
      <c r="I14" s="33"/>
      <c r="M14" s="32"/>
    </row>
    <row r="15" spans="2:15" ht="15" customHeight="1" x14ac:dyDescent="0.25">
      <c r="E15" s="32"/>
      <c r="M15" s="32"/>
    </row>
    <row r="16" spans="2:15" ht="15" customHeight="1" x14ac:dyDescent="0.25">
      <c r="B16" s="120" t="s">
        <v>43</v>
      </c>
      <c r="C16" s="121"/>
      <c r="D16" s="28">
        <v>11</v>
      </c>
      <c r="E16" s="33"/>
      <c r="M16" s="32"/>
    </row>
    <row r="17" spans="2:15" ht="15" customHeight="1" x14ac:dyDescent="0.25">
      <c r="M17" s="32"/>
    </row>
    <row r="18" spans="2:15" ht="15" customHeight="1" x14ac:dyDescent="0.25">
      <c r="B18" s="35"/>
      <c r="K18" s="35" t="s">
        <v>11</v>
      </c>
      <c r="L18" s="36">
        <v>1</v>
      </c>
      <c r="M18" s="32"/>
      <c r="N18" s="122" t="str">
        <f>IF(ISBLANK(L10),"",IF(L10&gt;L26,J10,J26))</f>
        <v>Сапронова Мария</v>
      </c>
      <c r="O18" s="120"/>
    </row>
    <row r="19" spans="2:15" ht="15" customHeight="1" x14ac:dyDescent="0.25">
      <c r="M19" s="32"/>
    </row>
    <row r="20" spans="2:15" ht="15" customHeight="1" x14ac:dyDescent="0.25">
      <c r="B20" s="120" t="s">
        <v>46</v>
      </c>
      <c r="C20" s="121"/>
      <c r="D20" s="28">
        <v>12</v>
      </c>
      <c r="E20" s="30"/>
      <c r="M20" s="32"/>
    </row>
    <row r="21" spans="2:15" ht="15" customHeight="1" x14ac:dyDescent="0.25">
      <c r="E21" s="31"/>
      <c r="M21" s="32"/>
    </row>
    <row r="22" spans="2:15" ht="15" customHeight="1" x14ac:dyDescent="0.25">
      <c r="B22" s="35" t="s">
        <v>11</v>
      </c>
      <c r="C22" s="36">
        <v>3</v>
      </c>
      <c r="E22" s="32"/>
      <c r="F22" s="122" t="str">
        <f>IF(ISBLANK(D20),"",IF(D20&gt;D24,B20,B24))</f>
        <v>Сапронова Мария</v>
      </c>
      <c r="G22" s="121"/>
      <c r="H22" s="28">
        <v>13</v>
      </c>
      <c r="I22" s="30"/>
      <c r="M22" s="32"/>
    </row>
    <row r="23" spans="2:15" ht="15" customHeight="1" x14ac:dyDescent="0.25">
      <c r="E23" s="32"/>
      <c r="I23" s="31"/>
      <c r="M23" s="32"/>
    </row>
    <row r="24" spans="2:15" ht="15" customHeight="1" x14ac:dyDescent="0.25">
      <c r="B24" s="120" t="s">
        <v>44</v>
      </c>
      <c r="C24" s="121"/>
      <c r="D24" s="28">
        <v>6</v>
      </c>
      <c r="E24" s="33"/>
      <c r="I24" s="32"/>
      <c r="M24" s="32"/>
    </row>
    <row r="25" spans="2:15" ht="15" customHeight="1" x14ac:dyDescent="0.25">
      <c r="I25" s="32"/>
      <c r="M25" s="32"/>
    </row>
    <row r="26" spans="2:15" ht="15" customHeight="1" x14ac:dyDescent="0.25">
      <c r="G26" s="35" t="s">
        <v>11</v>
      </c>
      <c r="H26" s="36">
        <v>3</v>
      </c>
      <c r="I26" s="32"/>
      <c r="J26" s="122" t="str">
        <f>IF(ISBLANK(H22),"",IF(H22&gt;H30,F22,F30))</f>
        <v>Сапронова Мария</v>
      </c>
      <c r="K26" s="121"/>
      <c r="L26" s="28">
        <v>13</v>
      </c>
      <c r="M26" s="33"/>
    </row>
    <row r="27" spans="2:15" ht="15" customHeight="1" x14ac:dyDescent="0.25">
      <c r="I27" s="32"/>
    </row>
    <row r="28" spans="2:15" ht="15" customHeight="1" x14ac:dyDescent="0.25">
      <c r="B28" s="120" t="s">
        <v>50</v>
      </c>
      <c r="C28" s="121"/>
      <c r="D28" s="28">
        <v>3</v>
      </c>
      <c r="E28" s="30"/>
      <c r="I28" s="32"/>
    </row>
    <row r="29" spans="2:15" ht="15" customHeight="1" x14ac:dyDescent="0.25">
      <c r="E29" s="31"/>
      <c r="I29" s="32"/>
    </row>
    <row r="30" spans="2:15" ht="15" customHeight="1" x14ac:dyDescent="0.25">
      <c r="B30" s="35" t="s">
        <v>11</v>
      </c>
      <c r="C30" s="36">
        <v>4</v>
      </c>
      <c r="E30" s="32"/>
      <c r="F30" s="122" t="str">
        <f>IF(ISBLANK(D28),"",IF(D28&gt;D32,B28,B32))</f>
        <v>Корсакова Ольга</v>
      </c>
      <c r="G30" s="121"/>
      <c r="H30" s="28">
        <v>5</v>
      </c>
      <c r="I30" s="33"/>
    </row>
    <row r="31" spans="2:15" ht="15" customHeight="1" x14ac:dyDescent="0.25">
      <c r="E31" s="32"/>
    </row>
    <row r="32" spans="2:15" ht="15" customHeight="1" x14ac:dyDescent="0.25">
      <c r="B32" s="120" t="s">
        <v>42</v>
      </c>
      <c r="C32" s="121"/>
      <c r="D32" s="28">
        <v>13</v>
      </c>
      <c r="E32" s="33"/>
    </row>
    <row r="36" spans="2:8" ht="15" customHeight="1" x14ac:dyDescent="0.25">
      <c r="B36" s="120" t="str">
        <f>IF(ISBLANK(H6),"",IF(H6&gt;H14,F14,F6))</f>
        <v>Дегтярёва Лариса</v>
      </c>
      <c r="C36" s="121"/>
      <c r="D36" s="28">
        <v>13</v>
      </c>
      <c r="E36" s="30"/>
      <c r="F36" s="123"/>
      <c r="G36" s="123"/>
    </row>
    <row r="37" spans="2:8" ht="15" customHeight="1" x14ac:dyDescent="0.25">
      <c r="E37" s="31"/>
    </row>
    <row r="38" spans="2:8" ht="15" customHeight="1" x14ac:dyDescent="0.25">
      <c r="C38" s="35" t="s">
        <v>11</v>
      </c>
      <c r="D38" s="36">
        <v>3</v>
      </c>
      <c r="E38" s="32"/>
      <c r="F38" s="122" t="str">
        <f>IF(ISBLANK(D36),"",IF(D36&gt;D40,B36,B40))</f>
        <v>Дегтярёва Лариса</v>
      </c>
      <c r="G38" s="120"/>
    </row>
    <row r="39" spans="2:8" ht="15" customHeight="1" x14ac:dyDescent="0.25">
      <c r="E39" s="32"/>
    </row>
    <row r="40" spans="2:8" ht="15" customHeight="1" x14ac:dyDescent="0.25">
      <c r="B40" s="120" t="str">
        <f>IF(ISBLANK(H22),"",IF(H22&gt;H30,F30,F22))</f>
        <v>Корсакова Ольга</v>
      </c>
      <c r="C40" s="121"/>
      <c r="D40" s="28">
        <v>12</v>
      </c>
      <c r="E40" s="33"/>
    </row>
    <row r="43" spans="2:8" ht="15" customHeight="1" x14ac:dyDescent="0.35">
      <c r="B43" s="132" t="s">
        <v>58</v>
      </c>
      <c r="C43" s="132"/>
      <c r="D43" s="132"/>
      <c r="E43" s="132"/>
      <c r="F43" s="132"/>
      <c r="G43" s="132"/>
      <c r="H43" s="133"/>
    </row>
    <row r="44" spans="2:8" ht="15" customHeight="1" x14ac:dyDescent="0.35">
      <c r="B44" s="132"/>
      <c r="C44" s="132"/>
      <c r="D44" s="132"/>
      <c r="E44" s="132"/>
      <c r="F44" s="132"/>
      <c r="G44" s="132"/>
      <c r="H44" s="133"/>
    </row>
    <row r="45" spans="2:8" ht="15" customHeight="1" x14ac:dyDescent="0.35">
      <c r="B45" s="132"/>
      <c r="C45" s="132"/>
      <c r="D45" s="132"/>
      <c r="E45" s="132"/>
      <c r="F45" s="132"/>
      <c r="G45" s="132"/>
      <c r="H45" s="133"/>
    </row>
    <row r="46" spans="2:8" ht="15" customHeight="1" x14ac:dyDescent="0.35">
      <c r="B46" s="132" t="s">
        <v>59</v>
      </c>
      <c r="C46" s="132"/>
      <c r="D46" s="132"/>
      <c r="E46" s="132"/>
      <c r="F46" s="132"/>
      <c r="G46" s="132"/>
      <c r="H46" s="133"/>
    </row>
  </sheetData>
  <mergeCells count="20">
    <mergeCell ref="F38:G38"/>
    <mergeCell ref="B40:C40"/>
    <mergeCell ref="B1:O1"/>
    <mergeCell ref="J26:K26"/>
    <mergeCell ref="B28:C28"/>
    <mergeCell ref="F30:G30"/>
    <mergeCell ref="B32:C32"/>
    <mergeCell ref="B36:C36"/>
    <mergeCell ref="F36:G36"/>
    <mergeCell ref="F14:G14"/>
    <mergeCell ref="B16:C16"/>
    <mergeCell ref="N18:O18"/>
    <mergeCell ref="B20:C20"/>
    <mergeCell ref="F22:G22"/>
    <mergeCell ref="B24:C24"/>
    <mergeCell ref="B4:C4"/>
    <mergeCell ref="F6:G6"/>
    <mergeCell ref="B8:C8"/>
    <mergeCell ref="J10:K10"/>
    <mergeCell ref="B12:C12"/>
  </mergeCells>
  <pageMargins left="0.25" right="0.25" top="0.75" bottom="0.75" header="0.3" footer="0.3"/>
  <pageSetup paperSize="9" scale="7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Мужчины группа А</vt:lpstr>
      <vt:lpstr>Мужчины группа В</vt:lpstr>
      <vt:lpstr>Мужчины кубок А</vt:lpstr>
      <vt:lpstr>Мужчины кубок В</vt:lpstr>
      <vt:lpstr>Итоги ГП России ОРТ муж</vt:lpstr>
      <vt:lpstr>Женщины группа А</vt:lpstr>
      <vt:lpstr>Женщины группа В</vt:lpstr>
      <vt:lpstr>Женщины группа С</vt:lpstr>
      <vt:lpstr>Женщины Кубок А</vt:lpstr>
      <vt:lpstr>Женщины Кубок В</vt:lpstr>
      <vt:lpstr>Итоги ГП России ОРТ жен</vt:lpstr>
      <vt:lpstr>Чемпионат ВФБ мужчины</vt:lpstr>
      <vt:lpstr>Итоги ГП России чемпионат ВФБ м</vt:lpstr>
      <vt:lpstr>Женщины Чемпионат ВФБ</vt:lpstr>
      <vt:lpstr>Итоги ГП России чемпионат ВФБ ж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User Windows</cp:lastModifiedBy>
  <cp:lastPrinted>2021-05-28T12:55:53Z</cp:lastPrinted>
  <dcterms:created xsi:type="dcterms:W3CDTF">2009-05-19T09:37:33Z</dcterms:created>
  <dcterms:modified xsi:type="dcterms:W3CDTF">2025-04-25T18:27:03Z</dcterms:modified>
</cp:coreProperties>
</file>