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етанк\Турниры\Московские дуплеты\2025\мужские\"/>
    </mc:Choice>
  </mc:AlternateContent>
  <bookViews>
    <workbookView xWindow="0" yWindow="0" windowWidth="24000" windowHeight="9750" activeTab="5"/>
  </bookViews>
  <sheets>
    <sheet name="X" sheetId="6" r:id="rId1"/>
    <sheet name="A" sheetId="1" r:id="rId2"/>
    <sheet name="B" sheetId="2" r:id="rId3"/>
    <sheet name="C" sheetId="3" r:id="rId4"/>
    <sheet name="D" sheetId="4" r:id="rId5"/>
    <sheet name="Кубок А" sheetId="5" r:id="rId6"/>
    <sheet name="Кубок В" sheetId="7" r:id="rId7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6" l="1"/>
  <c r="H22" i="6"/>
  <c r="H23" i="6"/>
  <c r="H20" i="6"/>
  <c r="H21" i="6"/>
  <c r="H17" i="6"/>
  <c r="H14" i="6"/>
  <c r="H18" i="6"/>
  <c r="H15" i="6"/>
  <c r="H16" i="6"/>
  <c r="H12" i="6"/>
  <c r="H11" i="6"/>
  <c r="H9" i="6"/>
  <c r="H8" i="6"/>
  <c r="H10" i="6"/>
  <c r="H7" i="6"/>
  <c r="H6" i="6"/>
  <c r="H5" i="6"/>
  <c r="H4" i="6"/>
  <c r="H3" i="6"/>
  <c r="F12" i="2"/>
  <c r="J6" i="3"/>
  <c r="I8" i="4"/>
  <c r="C8" i="4"/>
  <c r="H10" i="2"/>
  <c r="C8" i="3"/>
  <c r="J6" i="1"/>
  <c r="C4" i="4"/>
  <c r="F10" i="2"/>
  <c r="F12" i="1"/>
  <c r="H4" i="2"/>
  <c r="J10" i="1"/>
  <c r="H35" i="4"/>
  <c r="H5" i="2"/>
  <c r="F13" i="1"/>
  <c r="H10" i="3"/>
  <c r="H6" i="1"/>
  <c r="B32" i="5"/>
  <c r="C26" i="4"/>
  <c r="C12" i="3"/>
  <c r="F10" i="4"/>
  <c r="F12" i="4"/>
  <c r="H12" i="1"/>
  <c r="H10" i="4"/>
  <c r="G12" i="3"/>
  <c r="C4" i="3"/>
  <c r="J6" i="2"/>
  <c r="H27" i="3"/>
  <c r="F10" i="1"/>
  <c r="C12" i="1"/>
  <c r="C8" i="1"/>
  <c r="J6" i="4"/>
  <c r="J4" i="2"/>
  <c r="C23" i="4"/>
  <c r="H31" i="1"/>
  <c r="H11" i="2"/>
  <c r="J11" i="1"/>
  <c r="F13" i="2"/>
  <c r="C4" i="1"/>
  <c r="G8" i="2"/>
  <c r="I12" i="2"/>
  <c r="I6" i="1"/>
  <c r="I8" i="1"/>
  <c r="I9" i="1"/>
  <c r="J8" i="4"/>
  <c r="G4" i="1"/>
  <c r="J8" i="3"/>
  <c r="F6" i="4"/>
  <c r="C12" i="2"/>
  <c r="G12" i="4"/>
  <c r="I4" i="2"/>
  <c r="H6" i="3"/>
  <c r="G10" i="2"/>
  <c r="C12" i="4"/>
  <c r="F6" i="2"/>
  <c r="H11" i="3"/>
  <c r="B28" i="7"/>
  <c r="I8" i="3"/>
  <c r="H22" i="1"/>
  <c r="H18" i="2"/>
  <c r="G8" i="3"/>
  <c r="C26" i="1"/>
  <c r="I13" i="2"/>
  <c r="F11" i="1"/>
  <c r="H18" i="1"/>
  <c r="F6" i="1"/>
  <c r="C6" i="4"/>
  <c r="F8" i="1"/>
  <c r="C6" i="2"/>
  <c r="C22" i="3"/>
  <c r="B8" i="7"/>
  <c r="C19" i="3"/>
  <c r="C19" i="1"/>
  <c r="H35" i="1"/>
  <c r="C22" i="2"/>
  <c r="C18" i="4"/>
  <c r="H34" i="4"/>
  <c r="H34" i="2"/>
  <c r="C18" i="2"/>
  <c r="B32" i="7"/>
  <c r="G4" i="2"/>
  <c r="G5" i="2" s="1"/>
  <c r="J10" i="3"/>
  <c r="J11" i="3" s="1"/>
  <c r="F12" i="3"/>
  <c r="G8" i="4"/>
  <c r="C19" i="4"/>
  <c r="I4" i="3"/>
  <c r="F8" i="2"/>
  <c r="H4" i="3"/>
  <c r="G10" i="3"/>
  <c r="G11" i="3" s="1"/>
  <c r="B24" i="7"/>
  <c r="H4" i="1"/>
  <c r="H5" i="1" s="1"/>
  <c r="J7" i="3"/>
  <c r="I12" i="3"/>
  <c r="I5" i="3"/>
  <c r="I13" i="3"/>
  <c r="J4" i="3"/>
  <c r="J5" i="3" s="1"/>
  <c r="J10" i="4"/>
  <c r="I12" i="4"/>
  <c r="I13" i="4" s="1"/>
  <c r="H12" i="2"/>
  <c r="I12" i="1"/>
  <c r="H31" i="4"/>
  <c r="G12" i="1"/>
  <c r="H22" i="3"/>
  <c r="C23" i="3"/>
  <c r="G4" i="4"/>
  <c r="H26" i="4"/>
  <c r="F11" i="2"/>
  <c r="H13" i="2"/>
  <c r="H7" i="1"/>
  <c r="J8" i="2"/>
  <c r="J9" i="2" s="1"/>
  <c r="G4" i="3"/>
  <c r="C30" i="4"/>
  <c r="G9" i="4"/>
  <c r="C6" i="3"/>
  <c r="I6" i="3"/>
  <c r="G10" i="1"/>
  <c r="G11" i="1" s="1"/>
  <c r="B16" i="5"/>
  <c r="C8" i="2"/>
  <c r="H10" i="1"/>
  <c r="H11" i="1" s="1"/>
  <c r="I4" i="1"/>
  <c r="C22" i="4"/>
  <c r="C10" i="4"/>
  <c r="C35" i="4"/>
  <c r="J9" i="4"/>
  <c r="H26" i="1"/>
  <c r="G5" i="4"/>
  <c r="F10" i="3"/>
  <c r="B24" i="5"/>
  <c r="G8" i="1"/>
  <c r="G9" i="1" s="1"/>
  <c r="H27" i="4"/>
  <c r="C22" i="1"/>
  <c r="B20" i="5"/>
  <c r="H34" i="3"/>
  <c r="H31" i="2"/>
  <c r="H23" i="4"/>
  <c r="C31" i="2"/>
  <c r="F13" i="3"/>
  <c r="C10" i="3"/>
  <c r="H5" i="3"/>
  <c r="F8" i="4"/>
  <c r="F9" i="4" s="1"/>
  <c r="H12" i="4"/>
  <c r="J4" i="4"/>
  <c r="J5" i="4" s="1"/>
  <c r="C10" i="2"/>
  <c r="H35" i="3"/>
  <c r="I6" i="2"/>
  <c r="I7" i="2" s="1"/>
  <c r="J4" i="1"/>
  <c r="F8" i="3"/>
  <c r="F9" i="3" s="1"/>
  <c r="C26" i="3"/>
  <c r="H13" i="4"/>
  <c r="J11" i="4"/>
  <c r="J7" i="1"/>
  <c r="H22" i="4"/>
  <c r="C6" i="1"/>
  <c r="H6" i="2"/>
  <c r="H7" i="2" s="1"/>
  <c r="H6" i="4"/>
  <c r="J8" i="1"/>
  <c r="J10" i="2"/>
  <c r="C4" i="2"/>
  <c r="H27" i="2"/>
  <c r="I4" i="4"/>
  <c r="I6" i="4"/>
  <c r="I7" i="4" s="1"/>
  <c r="C10" i="1"/>
  <c r="F6" i="3"/>
  <c r="F7" i="3" s="1"/>
  <c r="H12" i="3"/>
  <c r="C35" i="1"/>
  <c r="H4" i="4"/>
  <c r="H27" i="1"/>
  <c r="H18" i="3"/>
  <c r="C30" i="3"/>
  <c r="G12" i="2"/>
  <c r="C30" i="1"/>
  <c r="I8" i="2"/>
  <c r="G10" i="4"/>
  <c r="C19" i="2"/>
  <c r="C27" i="3"/>
  <c r="H19" i="2"/>
  <c r="C23" i="1"/>
  <c r="C18" i="1"/>
  <c r="C18" i="3"/>
  <c r="H26" i="2"/>
  <c r="C35" i="2"/>
  <c r="H19" i="1"/>
  <c r="C31" i="4"/>
  <c r="B12" i="7"/>
  <c r="B16" i="7"/>
  <c r="I9" i="2"/>
  <c r="B20" i="7"/>
  <c r="I9" i="4"/>
  <c r="C26" i="2"/>
  <c r="H35" i="2"/>
  <c r="F9" i="2"/>
  <c r="I9" i="3"/>
  <c r="H26" i="3"/>
  <c r="B4" i="5"/>
  <c r="I5" i="1"/>
  <c r="H11" i="4"/>
  <c r="H23" i="2"/>
  <c r="H19" i="4"/>
  <c r="J7" i="2"/>
  <c r="F13" i="4"/>
  <c r="H7" i="4"/>
  <c r="H31" i="3"/>
  <c r="C31" i="3"/>
  <c r="H23" i="3"/>
  <c r="B12" i="5"/>
  <c r="H22" i="2"/>
  <c r="H30" i="4"/>
  <c r="C27" i="4"/>
  <c r="C34" i="4"/>
  <c r="H30" i="3"/>
  <c r="H19" i="3"/>
  <c r="C34" i="3"/>
  <c r="C27" i="2"/>
  <c r="C34" i="2"/>
  <c r="H30" i="2"/>
  <c r="H34" i="1"/>
  <c r="B4" i="7"/>
  <c r="H23" i="1"/>
  <c r="C31" i="1"/>
  <c r="B28" i="5"/>
  <c r="C23" i="2"/>
  <c r="C30" i="2"/>
  <c r="C27" i="1"/>
  <c r="C34" i="1"/>
  <c r="H30" i="1"/>
  <c r="F30" i="5" l="1"/>
  <c r="B40" i="5" s="1"/>
  <c r="F38" i="5" s="1"/>
  <c r="F6" i="7"/>
  <c r="J10" i="7" s="1"/>
  <c r="N18" i="7" s="1"/>
  <c r="F22" i="7"/>
  <c r="J26" i="7" s="1"/>
  <c r="F14" i="7"/>
  <c r="B36" i="7" s="1"/>
  <c r="F38" i="7" s="1"/>
  <c r="L9" i="4"/>
  <c r="K8" i="4"/>
  <c r="F22" i="5"/>
  <c r="J26" i="5" s="1"/>
  <c r="N18" i="5" s="1"/>
  <c r="F14" i="5"/>
  <c r="J10" i="5" s="1"/>
  <c r="K10" i="1"/>
  <c r="L11" i="1"/>
  <c r="F30" i="7"/>
  <c r="B40" i="7" s="1"/>
  <c r="G11" i="4"/>
  <c r="H5" i="4"/>
  <c r="I5" i="4"/>
  <c r="J9" i="1"/>
  <c r="B8" i="5"/>
  <c r="I7" i="3"/>
  <c r="G13" i="1"/>
  <c r="F9" i="1"/>
  <c r="G9" i="3"/>
  <c r="F7" i="2"/>
  <c r="G11" i="2"/>
  <c r="I5" i="2"/>
  <c r="F7" i="4"/>
  <c r="G5" i="1"/>
  <c r="G9" i="2"/>
  <c r="J7" i="4"/>
  <c r="H13" i="1"/>
  <c r="C35" i="3"/>
  <c r="G13" i="2"/>
  <c r="H13" i="3"/>
  <c r="J11" i="2"/>
  <c r="J5" i="1"/>
  <c r="F11" i="3"/>
  <c r="G5" i="3"/>
  <c r="I13" i="1"/>
  <c r="F7" i="1"/>
  <c r="H18" i="4"/>
  <c r="H7" i="3"/>
  <c r="G13" i="4"/>
  <c r="J9" i="3"/>
  <c r="I7" i="1"/>
  <c r="J5" i="2"/>
  <c r="G13" i="3"/>
  <c r="F11" i="4"/>
  <c r="K10" i="4" l="1"/>
  <c r="L11" i="4"/>
  <c r="L13" i="3"/>
  <c r="K12" i="3"/>
  <c r="L13" i="4"/>
  <c r="K12" i="4"/>
  <c r="K6" i="3"/>
  <c r="L7" i="3"/>
  <c r="K6" i="1"/>
  <c r="L7" i="1"/>
  <c r="K4" i="3"/>
  <c r="L5" i="3"/>
  <c r="L11" i="3"/>
  <c r="K10" i="3"/>
  <c r="K12" i="2"/>
  <c r="L13" i="2"/>
  <c r="L9" i="2"/>
  <c r="K8" i="2"/>
  <c r="K4" i="1"/>
  <c r="L5" i="1"/>
  <c r="L7" i="4"/>
  <c r="K6" i="4"/>
  <c r="L5" i="2"/>
  <c r="K4" i="2"/>
  <c r="L11" i="2"/>
  <c r="K10" i="2"/>
  <c r="L7" i="2"/>
  <c r="K6" i="2"/>
  <c r="L9" i="3"/>
  <c r="K8" i="3"/>
  <c r="L9" i="1"/>
  <c r="K8" i="1"/>
  <c r="L13" i="1"/>
  <c r="K12" i="1"/>
  <c r="F6" i="5"/>
  <c r="B36" i="5" s="1"/>
  <c r="K4" i="4"/>
  <c r="L5" i="4"/>
</calcChain>
</file>

<file path=xl/sharedStrings.xml><?xml version="1.0" encoding="utf-8"?>
<sst xmlns="http://schemas.openxmlformats.org/spreadsheetml/2006/main" count="264" uniqueCount="94">
  <si>
    <t>Команда</t>
  </si>
  <si>
    <t>Игрок 1</t>
  </si>
  <si>
    <t>Игрок 2</t>
  </si>
  <si>
    <t>Рейт 1</t>
  </si>
  <si>
    <t>Рейт 2</t>
  </si>
  <si>
    <t>Рейтинг</t>
  </si>
  <si>
    <t>Поток</t>
  </si>
  <si>
    <t>Лямунов-Шундрин</t>
  </si>
  <si>
    <t>Лямунов Никита</t>
  </si>
  <si>
    <t>Шундрин Михаил</t>
  </si>
  <si>
    <t>утро</t>
  </si>
  <si>
    <t>Догадин-Петрушко</t>
  </si>
  <si>
    <t>Догадин Евгений</t>
  </si>
  <si>
    <t>Петрушко Алексей</t>
  </si>
  <si>
    <t>Воронов-Тихонов</t>
  </si>
  <si>
    <t>Воронов Олег</t>
  </si>
  <si>
    <t>Тихонов Дмитрий</t>
  </si>
  <si>
    <t>Бейгер-Каргашин</t>
  </si>
  <si>
    <t>Бейгер Максим</t>
  </si>
  <si>
    <t>Каргашин Илья</t>
  </si>
  <si>
    <t>Вахрушев-Трутнев</t>
  </si>
  <si>
    <t>Вахрушев Владимир</t>
  </si>
  <si>
    <t>Трутнев Евгений</t>
  </si>
  <si>
    <t>Комаров-Ницинский</t>
  </si>
  <si>
    <t>Ницинский Станислав</t>
  </si>
  <si>
    <t>Комаров Александр</t>
  </si>
  <si>
    <t>Земцов-Шапкин</t>
  </si>
  <si>
    <t>Земцов Сергей</t>
  </si>
  <si>
    <t>Шапкин Константин</t>
  </si>
  <si>
    <t>Глуховский-Франк</t>
  </si>
  <si>
    <t>Глуховский Аркадий</t>
  </si>
  <si>
    <t>Франк Николай</t>
  </si>
  <si>
    <t>Глеклер Андрей</t>
  </si>
  <si>
    <t>Царегородцев Александр</t>
  </si>
  <si>
    <t>Агапов-Лютиков</t>
  </si>
  <si>
    <t>Агапов Александр</t>
  </si>
  <si>
    <t>Лютиков Александр</t>
  </si>
  <si>
    <t>Гаджиев-Денисов</t>
  </si>
  <si>
    <t>Гаджиев Сеявуш</t>
  </si>
  <si>
    <t>Денисов Евгений</t>
  </si>
  <si>
    <t>вечер</t>
  </si>
  <si>
    <t>Дубовицкий-Хафидо</t>
  </si>
  <si>
    <t>Дубовицкий Игорь</t>
  </si>
  <si>
    <t>Лухиши Хафидо</t>
  </si>
  <si>
    <t>Большаков-Зимин</t>
  </si>
  <si>
    <t>Большаков Василий</t>
  </si>
  <si>
    <t>Зимин Михаил</t>
  </si>
  <si>
    <t>Волков-Гулинин</t>
  </si>
  <si>
    <t>Волков Денис</t>
  </si>
  <si>
    <t>Гулинин Евгений</t>
  </si>
  <si>
    <t>Гоцфрид-Осокин</t>
  </si>
  <si>
    <t>Гоцфрид Константин</t>
  </si>
  <si>
    <t>Осокин Евгений</t>
  </si>
  <si>
    <t>Кравцов-Поляков</t>
  </si>
  <si>
    <t>Кравцов Владимир</t>
  </si>
  <si>
    <t>Поляков Алексей</t>
  </si>
  <si>
    <t>Базарев-Филатов</t>
  </si>
  <si>
    <t>Базарев Дмитрий</t>
  </si>
  <si>
    <t>Филатов Андрей</t>
  </si>
  <si>
    <t>Гусев-Папоян</t>
  </si>
  <si>
    <t>Гусев Е</t>
  </si>
  <si>
    <t>Папоян Грикор</t>
  </si>
  <si>
    <t>Новиков-Тарасов</t>
  </si>
  <si>
    <t>Новиков Петр</t>
  </si>
  <si>
    <t>Тарасов Константин</t>
  </si>
  <si>
    <t>Давыдов-Трофимов</t>
  </si>
  <si>
    <t>Давыдов Андрей</t>
  </si>
  <si>
    <t>Трофимов Александр</t>
  </si>
  <si>
    <t>Распред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</si>
  <si>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</si>
  <si>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</si>
  <si>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</si>
  <si>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</si>
  <si>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</si>
  <si>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</si>
  <si>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</si>
  <si>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</si>
  <si>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</si>
  <si>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</si>
  <si>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>Группа А</t>
  </si>
  <si>
    <t>Группа B</t>
  </si>
  <si>
    <t>Группа C</t>
  </si>
  <si>
    <t>Группа D</t>
  </si>
  <si>
    <t>Кубок А</t>
  </si>
  <si>
    <t>Кубок В</t>
  </si>
  <si>
    <t>x</t>
  </si>
  <si>
    <t>Жребий</t>
  </si>
  <si>
    <t>a</t>
  </si>
  <si>
    <t>b</t>
  </si>
  <si>
    <t>c</t>
  </si>
  <si>
    <t>d</t>
  </si>
  <si>
    <t>Глеклер-Царегородцев</t>
  </si>
  <si>
    <t>j</t>
  </si>
  <si>
    <t>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</si>
</sst>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;0"/>
    <numFmt numFmtId="165" formatCode="\+##;\-##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4C4C4C"/>
      <name val="Trebuchet MS"/>
      <family val="2"/>
      <charset val="204"/>
    </font>
    <font>
      <b/>
      <sz val="36"/>
      <color indexed="8"/>
      <name val="Calibri Light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5" fontId="5" fillId="4" borderId="18" xfId="0" applyNumberFormat="1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5" fontId="5" fillId="4" borderId="19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5" fontId="5" fillId="4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2" borderId="19" xfId="0" applyFill="1" applyBorder="1"/>
    <xf numFmtId="0" fontId="0" fillId="3" borderId="19" xfId="0" applyFill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left" vertical="center" wrapText="1" indent="1"/>
    </xf>
    <xf numFmtId="0" fontId="4" fillId="2" borderId="17" xfId="0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>
      <alignment horizontal="left" vertical="center" wrapText="1" indent="1"/>
    </xf>
    <xf numFmtId="0" fontId="4" fillId="3" borderId="17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0" fillId="0" borderId="22" xfId="0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 indent="1"/>
    </xf>
    <xf numFmtId="0" fontId="4" fillId="2" borderId="24" xfId="0" applyFont="1" applyFill="1" applyBorder="1" applyAlignment="1">
      <alignment horizontal="left" vertical="center" wrapText="1" indent="1"/>
    </xf>
    <xf numFmtId="0" fontId="4" fillId="2" borderId="25" xfId="0" applyFont="1" applyFill="1" applyBorder="1" applyAlignment="1">
      <alignment horizontal="left" vertical="center" wrapText="1" indent="1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3" borderId="23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5" xfId="0" applyFont="1" applyFill="1" applyBorder="1" applyAlignment="1">
      <alignment horizontal="left" vertical="center" wrapText="1" indent="1"/>
    </xf>
    <xf numFmtId="0" fontId="4" fillId="5" borderId="15" xfId="0" applyFont="1" applyFill="1" applyBorder="1" applyAlignment="1">
      <alignment horizontal="left" vertical="center" wrapText="1" indent="1"/>
    </xf>
    <xf numFmtId="0" fontId="4" fillId="5" borderId="16" xfId="0" applyFont="1" applyFill="1" applyBorder="1" applyAlignment="1">
      <alignment horizontal="left" vertical="center" wrapText="1" indent="1"/>
    </xf>
    <xf numFmtId="0" fontId="4" fillId="5" borderId="17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8" fillId="0" borderId="2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D20" sqref="D20"/>
    </sheetView>
  </sheetViews>
  <sheetFormatPr defaultRowHeight="15" x14ac:dyDescent="0.25"/>
  <cols>
    <col min="1" max="1" width="9.140625" style="2"/>
    <col min="2" max="2" width="23.5703125" customWidth="1"/>
    <col min="3" max="3" width="11.85546875" style="2" customWidth="1"/>
    <col min="4" max="5" width="27.7109375" customWidth="1"/>
  </cols>
  <sheetData>
    <row r="1" spans="1:10" s="1" customFormat="1" x14ac:dyDescent="0.25">
      <c r="A1" s="36" t="s">
        <v>86</v>
      </c>
      <c r="B1" s="36" t="s">
        <v>0</v>
      </c>
      <c r="C1" s="36" t="s">
        <v>68</v>
      </c>
      <c r="D1" s="36" t="s">
        <v>1</v>
      </c>
      <c r="E1" s="36" t="s">
        <v>2</v>
      </c>
      <c r="F1" s="36" t="s">
        <v>3</v>
      </c>
      <c r="G1" s="36" t="s">
        <v>4</v>
      </c>
      <c r="H1" s="36" t="s">
        <v>5</v>
      </c>
      <c r="I1" s="36" t="s">
        <v>6</v>
      </c>
      <c r="J1" s="36"/>
    </row>
    <row r="2" spans="1:10" x14ac:dyDescent="0.25">
      <c r="A2" s="37"/>
      <c r="B2" s="38"/>
      <c r="C2" s="37"/>
      <c r="D2" s="38"/>
      <c r="E2" s="38"/>
      <c r="F2" s="38"/>
      <c r="G2" s="38"/>
      <c r="H2" s="38"/>
      <c r="I2" s="38"/>
      <c r="J2" s="38"/>
    </row>
    <row r="3" spans="1:10" x14ac:dyDescent="0.25">
      <c r="A3" s="37">
        <v>199</v>
      </c>
      <c r="B3" s="38" t="s">
        <v>7</v>
      </c>
      <c r="C3" s="37">
        <v>1</v>
      </c>
      <c r="D3" s="39" t="s">
        <v>8</v>
      </c>
      <c r="E3" s="39" t="s">
        <v>9</v>
      </c>
      <c r="F3" s="39">
        <v>98</v>
      </c>
      <c r="G3" s="39">
        <v>76</v>
      </c>
      <c r="H3" s="39">
        <f t="shared" ref="H3:H12" si="0">G3+F3</f>
        <v>174</v>
      </c>
      <c r="I3" s="39" t="s">
        <v>10</v>
      </c>
      <c r="J3" s="38"/>
    </row>
    <row r="4" spans="1:10" x14ac:dyDescent="0.25">
      <c r="A4" s="37">
        <v>120</v>
      </c>
      <c r="B4" s="38" t="s">
        <v>11</v>
      </c>
      <c r="C4" s="37">
        <v>2</v>
      </c>
      <c r="D4" s="39" t="s">
        <v>12</v>
      </c>
      <c r="E4" s="39" t="s">
        <v>13</v>
      </c>
      <c r="F4" s="39">
        <v>80</v>
      </c>
      <c r="G4" s="39">
        <v>68</v>
      </c>
      <c r="H4" s="39">
        <f t="shared" si="0"/>
        <v>148</v>
      </c>
      <c r="I4" s="39" t="s">
        <v>10</v>
      </c>
      <c r="J4" s="38"/>
    </row>
    <row r="5" spans="1:10" x14ac:dyDescent="0.25">
      <c r="A5" s="37">
        <v>108</v>
      </c>
      <c r="B5" s="38" t="s">
        <v>14</v>
      </c>
      <c r="C5" s="37">
        <v>3</v>
      </c>
      <c r="D5" s="39" t="s">
        <v>15</v>
      </c>
      <c r="E5" s="39" t="s">
        <v>16</v>
      </c>
      <c r="F5" s="39">
        <v>61</v>
      </c>
      <c r="G5" s="39">
        <v>61</v>
      </c>
      <c r="H5" s="39">
        <f t="shared" si="0"/>
        <v>122</v>
      </c>
      <c r="I5" s="39" t="s">
        <v>10</v>
      </c>
      <c r="J5" s="38"/>
    </row>
    <row r="6" spans="1:10" x14ac:dyDescent="0.25">
      <c r="A6" s="37">
        <v>105</v>
      </c>
      <c r="B6" s="38" t="s">
        <v>17</v>
      </c>
      <c r="C6" s="37">
        <v>4</v>
      </c>
      <c r="D6" s="39" t="s">
        <v>18</v>
      </c>
      <c r="E6" s="39" t="s">
        <v>19</v>
      </c>
      <c r="F6" s="39">
        <v>49</v>
      </c>
      <c r="G6" s="39">
        <v>59</v>
      </c>
      <c r="H6" s="39">
        <f t="shared" si="0"/>
        <v>108</v>
      </c>
      <c r="I6" s="40" t="s">
        <v>10</v>
      </c>
      <c r="J6" s="38"/>
    </row>
    <row r="7" spans="1:10" x14ac:dyDescent="0.25">
      <c r="A7" s="37">
        <v>86</v>
      </c>
      <c r="B7" s="38" t="s">
        <v>20</v>
      </c>
      <c r="C7" s="37">
        <v>5</v>
      </c>
      <c r="D7" s="38" t="s">
        <v>21</v>
      </c>
      <c r="E7" s="38" t="s">
        <v>22</v>
      </c>
      <c r="F7" s="38">
        <v>51</v>
      </c>
      <c r="G7" s="38">
        <v>31</v>
      </c>
      <c r="H7" s="38">
        <f t="shared" si="0"/>
        <v>82</v>
      </c>
      <c r="I7" s="38" t="s">
        <v>10</v>
      </c>
      <c r="J7" s="38"/>
    </row>
    <row r="8" spans="1:10" x14ac:dyDescent="0.25">
      <c r="A8" s="37">
        <v>82</v>
      </c>
      <c r="B8" s="38" t="s">
        <v>26</v>
      </c>
      <c r="C8" s="37">
        <v>6</v>
      </c>
      <c r="D8" s="38" t="s">
        <v>27</v>
      </c>
      <c r="E8" s="38" t="s">
        <v>28</v>
      </c>
      <c r="F8" s="38">
        <v>23</v>
      </c>
      <c r="G8" s="38">
        <v>35</v>
      </c>
      <c r="H8" s="38">
        <f t="shared" si="0"/>
        <v>58</v>
      </c>
      <c r="I8" s="38" t="s">
        <v>10</v>
      </c>
      <c r="J8" s="38"/>
    </row>
    <row r="9" spans="1:10" x14ac:dyDescent="0.25">
      <c r="A9" s="37">
        <v>74</v>
      </c>
      <c r="B9" s="38" t="s">
        <v>29</v>
      </c>
      <c r="C9" s="37">
        <v>7</v>
      </c>
      <c r="D9" s="38" t="s">
        <v>30</v>
      </c>
      <c r="E9" s="38" t="s">
        <v>31</v>
      </c>
      <c r="F9" s="38">
        <v>19</v>
      </c>
      <c r="G9" s="38">
        <v>0</v>
      </c>
      <c r="H9" s="38">
        <f t="shared" si="0"/>
        <v>19</v>
      </c>
      <c r="I9" s="38" t="s">
        <v>10</v>
      </c>
      <c r="J9" s="38"/>
    </row>
    <row r="10" spans="1:10" x14ac:dyDescent="0.25">
      <c r="A10" s="37">
        <v>66</v>
      </c>
      <c r="B10" s="38" t="s">
        <v>23</v>
      </c>
      <c r="C10" s="37">
        <v>8</v>
      </c>
      <c r="D10" s="38" t="s">
        <v>24</v>
      </c>
      <c r="E10" s="38" t="s">
        <v>25</v>
      </c>
      <c r="F10" s="38">
        <v>9</v>
      </c>
      <c r="G10" s="38">
        <v>52</v>
      </c>
      <c r="H10" s="38">
        <f t="shared" si="0"/>
        <v>61</v>
      </c>
      <c r="I10" s="38" t="s">
        <v>10</v>
      </c>
      <c r="J10" s="38"/>
    </row>
    <row r="11" spans="1:10" x14ac:dyDescent="0.25">
      <c r="A11" s="37">
        <v>61</v>
      </c>
      <c r="B11" s="38" t="s">
        <v>91</v>
      </c>
      <c r="C11" s="37">
        <v>9</v>
      </c>
      <c r="D11" s="38" t="s">
        <v>32</v>
      </c>
      <c r="E11" s="38" t="s">
        <v>33</v>
      </c>
      <c r="F11" s="38">
        <v>0</v>
      </c>
      <c r="G11" s="38">
        <v>18</v>
      </c>
      <c r="H11" s="38">
        <f t="shared" si="0"/>
        <v>18</v>
      </c>
      <c r="I11" s="38" t="s">
        <v>10</v>
      </c>
      <c r="J11" s="38"/>
    </row>
    <row r="12" spans="1:10" x14ac:dyDescent="0.25">
      <c r="A12" s="37">
        <v>55</v>
      </c>
      <c r="B12" s="38" t="s">
        <v>34</v>
      </c>
      <c r="C12" s="37">
        <v>10</v>
      </c>
      <c r="D12" s="38" t="s">
        <v>35</v>
      </c>
      <c r="E12" s="38" t="s">
        <v>36</v>
      </c>
      <c r="F12" s="38">
        <v>2</v>
      </c>
      <c r="G12" s="38">
        <v>2</v>
      </c>
      <c r="H12" s="38">
        <f t="shared" si="0"/>
        <v>4</v>
      </c>
      <c r="I12" s="38" t="s">
        <v>10</v>
      </c>
      <c r="J12" s="38"/>
    </row>
    <row r="13" spans="1:10" x14ac:dyDescent="0.25">
      <c r="A13" s="37"/>
      <c r="B13" s="38"/>
      <c r="C13" s="37"/>
      <c r="D13" s="38"/>
      <c r="E13" s="38"/>
      <c r="F13" s="38"/>
      <c r="G13" s="38"/>
      <c r="H13" s="38"/>
      <c r="I13" s="38"/>
      <c r="J13" s="38"/>
    </row>
    <row r="14" spans="1:10" x14ac:dyDescent="0.25">
      <c r="A14" s="37">
        <v>168</v>
      </c>
      <c r="B14" s="38" t="s">
        <v>47</v>
      </c>
      <c r="C14" s="37">
        <v>11</v>
      </c>
      <c r="D14" s="39" t="s">
        <v>48</v>
      </c>
      <c r="E14" s="39" t="s">
        <v>49</v>
      </c>
      <c r="F14" s="39">
        <v>7</v>
      </c>
      <c r="G14" s="39">
        <v>94</v>
      </c>
      <c r="H14" s="39">
        <f t="shared" ref="H14:H23" si="1">G14+F14</f>
        <v>101</v>
      </c>
      <c r="I14" s="40" t="s">
        <v>40</v>
      </c>
      <c r="J14" s="38"/>
    </row>
    <row r="15" spans="1:10" x14ac:dyDescent="0.25">
      <c r="A15" s="37">
        <v>157</v>
      </c>
      <c r="B15" s="38" t="s">
        <v>41</v>
      </c>
      <c r="C15" s="37">
        <v>12</v>
      </c>
      <c r="D15" s="39" t="s">
        <v>42</v>
      </c>
      <c r="E15" s="39" t="s">
        <v>43</v>
      </c>
      <c r="F15" s="39">
        <v>55</v>
      </c>
      <c r="G15" s="39">
        <v>52</v>
      </c>
      <c r="H15" s="39">
        <f t="shared" si="1"/>
        <v>107</v>
      </c>
      <c r="I15" s="39" t="s">
        <v>40</v>
      </c>
      <c r="J15" s="38"/>
    </row>
    <row r="16" spans="1:10" x14ac:dyDescent="0.25">
      <c r="A16" s="37">
        <v>129</v>
      </c>
      <c r="B16" s="38" t="s">
        <v>37</v>
      </c>
      <c r="C16" s="37">
        <v>13</v>
      </c>
      <c r="D16" s="39" t="s">
        <v>38</v>
      </c>
      <c r="E16" s="39" t="s">
        <v>39</v>
      </c>
      <c r="F16" s="39">
        <v>54</v>
      </c>
      <c r="G16" s="39">
        <v>54</v>
      </c>
      <c r="H16" s="39">
        <f t="shared" si="1"/>
        <v>108</v>
      </c>
      <c r="I16" s="39" t="s">
        <v>40</v>
      </c>
      <c r="J16" s="38"/>
    </row>
    <row r="17" spans="1:10" x14ac:dyDescent="0.25">
      <c r="A17" s="37">
        <v>111</v>
      </c>
      <c r="B17" s="38" t="s">
        <v>50</v>
      </c>
      <c r="C17" s="37">
        <v>14</v>
      </c>
      <c r="D17" s="39" t="s">
        <v>51</v>
      </c>
      <c r="E17" s="39" t="s">
        <v>52</v>
      </c>
      <c r="F17" s="39">
        <v>46</v>
      </c>
      <c r="G17" s="39">
        <v>41</v>
      </c>
      <c r="H17" s="39">
        <f t="shared" si="1"/>
        <v>87</v>
      </c>
      <c r="I17" s="40" t="s">
        <v>40</v>
      </c>
      <c r="J17" s="38"/>
    </row>
    <row r="18" spans="1:10" x14ac:dyDescent="0.25">
      <c r="A18" s="37">
        <v>110</v>
      </c>
      <c r="B18" s="38" t="s">
        <v>44</v>
      </c>
      <c r="C18" s="37">
        <v>15</v>
      </c>
      <c r="D18" s="39" t="s">
        <v>45</v>
      </c>
      <c r="E18" s="39" t="s">
        <v>46</v>
      </c>
      <c r="F18" s="39">
        <v>48</v>
      </c>
      <c r="G18" s="39">
        <v>55</v>
      </c>
      <c r="H18" s="39">
        <f t="shared" si="1"/>
        <v>103</v>
      </c>
      <c r="I18" s="39" t="s">
        <v>40</v>
      </c>
      <c r="J18" s="38"/>
    </row>
    <row r="19" spans="1:10" x14ac:dyDescent="0.25">
      <c r="A19" s="37">
        <v>53</v>
      </c>
      <c r="B19" s="38" t="s">
        <v>65</v>
      </c>
      <c r="C19" s="37">
        <v>16</v>
      </c>
      <c r="D19" s="38" t="s">
        <v>66</v>
      </c>
      <c r="E19" s="38" t="s">
        <v>67</v>
      </c>
      <c r="F19" s="38">
        <v>4</v>
      </c>
      <c r="G19" s="38">
        <v>11</v>
      </c>
      <c r="H19" s="38">
        <f t="shared" si="1"/>
        <v>15</v>
      </c>
      <c r="I19" s="38"/>
      <c r="J19" s="38"/>
    </row>
    <row r="20" spans="1:10" x14ac:dyDescent="0.25">
      <c r="A20" s="37">
        <v>42</v>
      </c>
      <c r="B20" s="38" t="s">
        <v>56</v>
      </c>
      <c r="C20" s="37">
        <v>17</v>
      </c>
      <c r="D20" s="38" t="s">
        <v>57</v>
      </c>
      <c r="E20" s="38" t="s">
        <v>58</v>
      </c>
      <c r="F20" s="38">
        <v>0</v>
      </c>
      <c r="G20" s="38">
        <v>15</v>
      </c>
      <c r="H20" s="38">
        <f t="shared" si="1"/>
        <v>15</v>
      </c>
      <c r="I20" s="38" t="s">
        <v>40</v>
      </c>
      <c r="J20" s="38"/>
    </row>
    <row r="21" spans="1:10" x14ac:dyDescent="0.25">
      <c r="A21" s="37">
        <v>34</v>
      </c>
      <c r="B21" s="38" t="s">
        <v>53</v>
      </c>
      <c r="C21" s="37">
        <v>18</v>
      </c>
      <c r="D21" s="38" t="s">
        <v>54</v>
      </c>
      <c r="E21" s="38" t="s">
        <v>55</v>
      </c>
      <c r="F21" s="38">
        <v>19</v>
      </c>
      <c r="G21" s="38">
        <v>51</v>
      </c>
      <c r="H21" s="38">
        <f t="shared" si="1"/>
        <v>70</v>
      </c>
      <c r="I21" s="38" t="s">
        <v>40</v>
      </c>
      <c r="J21" s="38"/>
    </row>
    <row r="22" spans="1:10" x14ac:dyDescent="0.25">
      <c r="A22" s="37">
        <v>21</v>
      </c>
      <c r="B22" s="38" t="s">
        <v>62</v>
      </c>
      <c r="C22" s="37">
        <v>19</v>
      </c>
      <c r="D22" s="38" t="s">
        <v>63</v>
      </c>
      <c r="E22" s="38" t="s">
        <v>64</v>
      </c>
      <c r="F22" s="38">
        <v>15</v>
      </c>
      <c r="G22" s="38">
        <v>12</v>
      </c>
      <c r="H22" s="38">
        <f t="shared" si="1"/>
        <v>27</v>
      </c>
      <c r="I22" s="38"/>
      <c r="J22" s="38"/>
    </row>
    <row r="23" spans="1:10" x14ac:dyDescent="0.25">
      <c r="A23" s="37">
        <v>2</v>
      </c>
      <c r="B23" s="38" t="s">
        <v>59</v>
      </c>
      <c r="C23" s="37">
        <v>20</v>
      </c>
      <c r="D23" s="38" t="s">
        <v>60</v>
      </c>
      <c r="E23" s="38" t="s">
        <v>61</v>
      </c>
      <c r="F23" s="38">
        <v>0</v>
      </c>
      <c r="G23" s="38">
        <v>0</v>
      </c>
      <c r="H23" s="38">
        <f t="shared" si="1"/>
        <v>0</v>
      </c>
      <c r="I23" s="38" t="s">
        <v>40</v>
      </c>
      <c r="J23" s="38"/>
    </row>
    <row r="24" spans="1:10" ht="15.75" x14ac:dyDescent="0.3">
      <c r="A24" s="37"/>
      <c r="B24" s="41"/>
      <c r="C24" s="42"/>
      <c r="D24" s="38"/>
      <c r="E24" s="38"/>
      <c r="F24" s="38"/>
      <c r="G24" s="38"/>
      <c r="H24" s="38"/>
      <c r="I24" s="38"/>
      <c r="J24" s="38"/>
    </row>
    <row r="25" spans="1:10" ht="15.75" x14ac:dyDescent="0.3">
      <c r="B25" s="3"/>
      <c r="C25" s="35"/>
    </row>
  </sheetData>
  <sortState ref="A14:J23">
    <sortCondition descending="1" ref="A14:A23"/>
  </sortState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H37" sqref="H37"/>
    </sheetView>
  </sheetViews>
  <sheetFormatPr defaultRowHeight="15" x14ac:dyDescent="0.25"/>
  <cols>
    <col min="1" max="1" width="4" style="4" customWidth="1"/>
    <col min="2" max="12" width="10.28515625" customWidth="1"/>
    <col min="13" max="13" width="10.28515625" style="26" customWidth="1"/>
    <col min="14" max="15" width="10.28515625" customWidth="1"/>
  </cols>
  <sheetData>
    <row r="1" spans="1:13" ht="46.5" x14ac:dyDescent="0.25">
      <c r="B1" s="53" t="s">
        <v>79</v>
      </c>
      <c r="C1" s="53"/>
      <c r="D1" s="53"/>
      <c r="E1" s="53"/>
      <c r="F1" s="53"/>
      <c r="G1" s="53"/>
      <c r="H1" s="53"/>
      <c r="I1" s="53"/>
      <c r="J1" s="53"/>
      <c r="K1" s="53"/>
      <c r="M1"/>
    </row>
    <row r="2" spans="1:13" ht="15.75" thickBot="1" x14ac:dyDescent="0.3">
      <c r="M2"/>
    </row>
    <row r="3" spans="1:13" ht="15.75" thickBot="1" x14ac:dyDescent="0.3">
      <c r="B3" s="5"/>
      <c r="C3" s="54" t="s">
        <v>0</v>
      </c>
      <c r="D3" s="55"/>
      <c r="E3" s="56"/>
      <c r="F3" s="6">
        <v>1</v>
      </c>
      <c r="G3" s="6">
        <v>2</v>
      </c>
      <c r="H3" s="6">
        <v>3</v>
      </c>
      <c r="I3" s="7">
        <v>4</v>
      </c>
      <c r="J3" s="7">
        <v>5</v>
      </c>
      <c r="K3" s="5" t="s">
        <v>69</v>
      </c>
      <c r="L3" s="6" t="s">
        <v>70</v>
      </c>
      <c r="M3" s="8" t="s">
        <v>71</v>
      </c>
    </row>
    <row r="4" spans="1:13" ht="21" x14ac:dyDescent="0.25">
      <c r="A4" s="4" t="s">
        <v>85</v>
      </c>
      <c r="B4" s="57">
        <v>1</v>
      </c>
      <c r="C4" s="59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Лямунов-Шундрин</v>
      </c>
      <c r="D4" s="60"/>
      <c r="E4" s="61"/>
      <c r="F4" s="9" t="s">
        <v>72</v>
      </c>
      <c r="G4" s="10" t="str">
        <f ca="1">INDIRECT(ADDRESS(23,6))&amp;":"&amp;INDIRECT(ADDRESS(23,7))</f>
        <v>7:6</v>
      </c>
      <c r="H4" s="10" t="str">
        <f ca="1">INDIRECT(ADDRESS(26,7))&amp;":"&amp;INDIRECT(ADDRESS(26,6))</f>
        <v>8:4</v>
      </c>
      <c r="I4" s="10" t="str">
        <f ca="1">INDIRECT(ADDRESS(30,6))&amp;":"&amp;INDIRECT(ADDRESS(30,7))</f>
        <v>8:6</v>
      </c>
      <c r="J4" s="11" t="str">
        <f ca="1">INDIRECT(ADDRESS(35,7))&amp;":"&amp;INDIRECT(ADDRESS(35,6))</f>
        <v>3:11</v>
      </c>
      <c r="K4" s="65">
        <f ca="1">IF(COUNT(F5:J5)=0,"",COUNTIF(F5:J5,"&gt;0")+0.5*COUNTIF(F5:J5,0))</f>
        <v>3</v>
      </c>
      <c r="L4" s="12"/>
      <c r="M4" s="51">
        <v>2</v>
      </c>
    </row>
    <row r="5" spans="1:13" ht="21" x14ac:dyDescent="0.25">
      <c r="A5" s="4">
        <v>1</v>
      </c>
      <c r="B5" s="58"/>
      <c r="C5" s="62"/>
      <c r="D5" s="63"/>
      <c r="E5" s="64"/>
      <c r="F5" s="13" t="s">
        <v>72</v>
      </c>
      <c r="G5" s="14">
        <f ca="1">IF(LEN(INDIRECT(ADDRESS(ROW()-1, COLUMN())))=1,"",INDIRECT(ADDRESS(23,6))-INDIRECT(ADDRESS(23,7)))</f>
        <v>1</v>
      </c>
      <c r="H5" s="14">
        <f ca="1">IF(LEN(INDIRECT(ADDRESS(ROW()-1, COLUMN())))=1,"",INDIRECT(ADDRESS(26,7))-INDIRECT(ADDRESS(26,6)))</f>
        <v>4</v>
      </c>
      <c r="I5" s="14">
        <f ca="1">IF(LEN(INDIRECT(ADDRESS(ROW()-1, COLUMN())))=1,"",INDIRECT(ADDRESS(30,6))-INDIRECT(ADDRESS(30,7)))</f>
        <v>2</v>
      </c>
      <c r="J5" s="15">
        <f ca="1">IF(LEN(INDIRECT(ADDRESS(ROW()-1, COLUMN())))=1,"",INDIRECT(ADDRESS(35,7))-INDIRECT(ADDRESS(35,6)))</f>
        <v>-8</v>
      </c>
      <c r="K5" s="66"/>
      <c r="L5" s="14">
        <f ca="1">IF(COUNT(F5:J5)=0,"",SUM(F5:J5))</f>
        <v>-1</v>
      </c>
      <c r="M5" s="52"/>
    </row>
    <row r="6" spans="1:13" ht="21" x14ac:dyDescent="0.25">
      <c r="A6" s="4" t="s">
        <v>85</v>
      </c>
      <c r="B6" s="67">
        <v>2</v>
      </c>
      <c r="C6" s="68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Вахрушев-Трутнев</v>
      </c>
      <c r="D6" s="69"/>
      <c r="E6" s="70"/>
      <c r="F6" s="16" t="str">
        <f ca="1">INDIRECT(ADDRESS(23,7))&amp;":"&amp;INDIRECT(ADDRESS(23,6))</f>
        <v>6:7</v>
      </c>
      <c r="G6" s="17" t="s">
        <v>72</v>
      </c>
      <c r="H6" s="18" t="str">
        <f ca="1">INDIRECT(ADDRESS(31,6))&amp;":"&amp;INDIRECT(ADDRESS(31,7))</f>
        <v>13:4</v>
      </c>
      <c r="I6" s="18" t="str">
        <f ca="1">INDIRECT(ADDRESS(34,7))&amp;":"&amp;INDIRECT(ADDRESS(34,6))</f>
        <v>13:7</v>
      </c>
      <c r="J6" s="19" t="str">
        <f ca="1">INDIRECT(ADDRESS(18,6))&amp;":"&amp;INDIRECT(ADDRESS(18,7))</f>
        <v>9:11</v>
      </c>
      <c r="K6" s="66">
        <f ca="1">IF(COUNT(F7:J7)=0,"",COUNTIF(F7:J7,"&gt;0")+0.5*COUNTIF(F7:J7,0))</f>
        <v>2</v>
      </c>
      <c r="L6" s="14"/>
      <c r="M6" s="52">
        <v>3</v>
      </c>
    </row>
    <row r="7" spans="1:13" ht="21" x14ac:dyDescent="0.25">
      <c r="A7" s="4">
        <v>5</v>
      </c>
      <c r="B7" s="58"/>
      <c r="C7" s="68"/>
      <c r="D7" s="69"/>
      <c r="E7" s="70"/>
      <c r="F7" s="20">
        <f ca="1">IF(LEN(INDIRECT(ADDRESS(ROW()-1, COLUMN())))=1,"",INDIRECT(ADDRESS(23,7))-INDIRECT(ADDRESS(23,6)))</f>
        <v>-1</v>
      </c>
      <c r="G7" s="21" t="s">
        <v>72</v>
      </c>
      <c r="H7" s="14">
        <f ca="1">IF(LEN(INDIRECT(ADDRESS(ROW()-1, COLUMN())))=1,"",INDIRECT(ADDRESS(31,6))-INDIRECT(ADDRESS(31,7)))</f>
        <v>9</v>
      </c>
      <c r="I7" s="14">
        <f ca="1">IF(LEN(INDIRECT(ADDRESS(ROW()-1, COLUMN())))=1,"",INDIRECT(ADDRESS(34,7))-INDIRECT(ADDRESS(34,6)))</f>
        <v>6</v>
      </c>
      <c r="J7" s="15">
        <f ca="1">IF(LEN(INDIRECT(ADDRESS(ROW()-1, COLUMN())))=1,"",INDIRECT(ADDRESS(18,6))-INDIRECT(ADDRESS(18,7)))</f>
        <v>-2</v>
      </c>
      <c r="K7" s="66"/>
      <c r="L7" s="14">
        <f ca="1">IF(COUNT(F7:J7)=0,"",SUM(F7:J7))</f>
        <v>12</v>
      </c>
      <c r="M7" s="52"/>
    </row>
    <row r="8" spans="1:13" ht="21" x14ac:dyDescent="0.25">
      <c r="A8" s="4" t="s">
        <v>85</v>
      </c>
      <c r="B8" s="67">
        <v>3</v>
      </c>
      <c r="C8" s="68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Воронов-Тихонов</v>
      </c>
      <c r="D8" s="69"/>
      <c r="E8" s="70"/>
      <c r="F8" s="16" t="str">
        <f ca="1">INDIRECT(ADDRESS(26,6))&amp;":"&amp;INDIRECT(ADDRESS(26,7))</f>
        <v>4:8</v>
      </c>
      <c r="G8" s="18" t="str">
        <f ca="1">INDIRECT(ADDRESS(31,7))&amp;":"&amp;INDIRECT(ADDRESS(31,6))</f>
        <v>4:13</v>
      </c>
      <c r="H8" s="17" t="s">
        <v>72</v>
      </c>
      <c r="I8" s="18" t="str">
        <f ca="1">INDIRECT(ADDRESS(19,6))&amp;":"&amp;INDIRECT(ADDRESS(19,7))</f>
        <v>13:3</v>
      </c>
      <c r="J8" s="19" t="str">
        <f ca="1">INDIRECT(ADDRESS(22,7))&amp;":"&amp;INDIRECT(ADDRESS(22,6))</f>
        <v>9:10</v>
      </c>
      <c r="K8" s="66">
        <f ca="1">IF(COUNT(F9:J9)=0,"",COUNTIF(F9:J9,"&gt;0")+0.5*COUNTIF(F9:J9,0))</f>
        <v>1</v>
      </c>
      <c r="L8" s="14"/>
      <c r="M8" s="52">
        <v>4</v>
      </c>
    </row>
    <row r="9" spans="1:13" ht="21" x14ac:dyDescent="0.25">
      <c r="A9" s="4">
        <v>3</v>
      </c>
      <c r="B9" s="58"/>
      <c r="C9" s="68"/>
      <c r="D9" s="69"/>
      <c r="E9" s="70"/>
      <c r="F9" s="20">
        <f ca="1">IF(LEN(INDIRECT(ADDRESS(ROW()-1, COLUMN())))=1,"",INDIRECT(ADDRESS(26,6))-INDIRECT(ADDRESS(26,7)))</f>
        <v>-4</v>
      </c>
      <c r="G9" s="14">
        <f ca="1">IF(LEN(INDIRECT(ADDRESS(ROW()-1, COLUMN())))=1,"",INDIRECT(ADDRESS(31,7))-INDIRECT(ADDRESS(31,6)))</f>
        <v>-9</v>
      </c>
      <c r="H9" s="21" t="s">
        <v>72</v>
      </c>
      <c r="I9" s="14">
        <f ca="1">IF(LEN(INDIRECT(ADDRESS(ROW()-1, COLUMN())))=1,"",INDIRECT(ADDRESS(19,6))-INDIRECT(ADDRESS(19,7)))</f>
        <v>10</v>
      </c>
      <c r="J9" s="15">
        <f ca="1">IF(LEN(INDIRECT(ADDRESS(ROW()-1, COLUMN())))=1,"",INDIRECT(ADDRESS(22,7))-INDIRECT(ADDRESS(22,6)))</f>
        <v>-1</v>
      </c>
      <c r="K9" s="66"/>
      <c r="L9" s="14">
        <f ca="1">IF(COUNT(F9:J9)=0,"",SUM(F9:J9))</f>
        <v>-4</v>
      </c>
      <c r="M9" s="52"/>
    </row>
    <row r="10" spans="1:13" ht="21" x14ac:dyDescent="0.25">
      <c r="A10" s="4" t="s">
        <v>85</v>
      </c>
      <c r="B10" s="67">
        <v>4</v>
      </c>
      <c r="C10" s="72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Глуховский-Франк</v>
      </c>
      <c r="D10" s="73"/>
      <c r="E10" s="74"/>
      <c r="F10" s="16" t="str">
        <f ca="1">INDIRECT(ADDRESS(30,7))&amp;":"&amp;INDIRECT(ADDRESS(30,6))</f>
        <v>6:8</v>
      </c>
      <c r="G10" s="18" t="str">
        <f ca="1">INDIRECT(ADDRESS(34,6))&amp;":"&amp;INDIRECT(ADDRESS(34,7))</f>
        <v>7:13</v>
      </c>
      <c r="H10" s="18" t="str">
        <f ca="1">INDIRECT(ADDRESS(19,7))&amp;":"&amp;INDIRECT(ADDRESS(19,6))</f>
        <v>3:13</v>
      </c>
      <c r="I10" s="17" t="s">
        <v>72</v>
      </c>
      <c r="J10" s="19" t="str">
        <f ca="1">INDIRECT(ADDRESS(27,6))&amp;":"&amp;INDIRECT(ADDRESS(27,7))</f>
        <v>12:4</v>
      </c>
      <c r="K10" s="66">
        <f ca="1">IF(COUNT(F11:J11)=0,"",COUNTIF(F11:J11,"&gt;0")+0.5*COUNTIF(F11:J11,0))</f>
        <v>1</v>
      </c>
      <c r="L10" s="14"/>
      <c r="M10" s="52">
        <v>5</v>
      </c>
    </row>
    <row r="11" spans="1:13" ht="21" x14ac:dyDescent="0.25">
      <c r="A11" s="4">
        <v>7</v>
      </c>
      <c r="B11" s="58"/>
      <c r="C11" s="72"/>
      <c r="D11" s="73"/>
      <c r="E11" s="74"/>
      <c r="F11" s="20">
        <f ca="1">IF(LEN(INDIRECT(ADDRESS(ROW()-1, COLUMN())))=1,"",INDIRECT(ADDRESS(30,7))-INDIRECT(ADDRESS(30,6)))</f>
        <v>-2</v>
      </c>
      <c r="G11" s="14">
        <f ca="1">IF(LEN(INDIRECT(ADDRESS(ROW()-1, COLUMN())))=1,"",INDIRECT(ADDRESS(34,6))-INDIRECT(ADDRESS(34,7)))</f>
        <v>-6</v>
      </c>
      <c r="H11" s="14">
        <f ca="1">IF(LEN(INDIRECT(ADDRESS(ROW()-1, COLUMN())))=1,"",INDIRECT(ADDRESS(19,7))-INDIRECT(ADDRESS(19,6)))</f>
        <v>-10</v>
      </c>
      <c r="I11" s="21" t="s">
        <v>72</v>
      </c>
      <c r="J11" s="15">
        <f ca="1">IF(LEN(INDIRECT(ADDRESS(ROW()-1, COLUMN())))=1,"",INDIRECT(ADDRESS(27,6))-INDIRECT(ADDRESS(27,7)))</f>
        <v>8</v>
      </c>
      <c r="K11" s="66"/>
      <c r="L11" s="14">
        <f ca="1">IF(COUNT(F11:J11)=0,"",SUM(F11:J11))</f>
        <v>-10</v>
      </c>
      <c r="M11" s="52"/>
    </row>
    <row r="12" spans="1:13" ht="21" x14ac:dyDescent="0.25">
      <c r="A12" s="4" t="s">
        <v>85</v>
      </c>
      <c r="B12" s="67">
        <v>5</v>
      </c>
      <c r="C12" s="62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Глеклер-Царегородцев</v>
      </c>
      <c r="D12" s="63"/>
      <c r="E12" s="64"/>
      <c r="F12" s="16" t="str">
        <f ca="1">INDIRECT(ADDRESS(35,6))&amp;":"&amp;INDIRECT(ADDRESS(35,7))</f>
        <v>11:3</v>
      </c>
      <c r="G12" s="18" t="str">
        <f ca="1">INDIRECT(ADDRESS(18,7))&amp;":"&amp;INDIRECT(ADDRESS(18,6))</f>
        <v>11:9</v>
      </c>
      <c r="H12" s="18" t="str">
        <f ca="1">INDIRECT(ADDRESS(22,6))&amp;":"&amp;INDIRECT(ADDRESS(22,7))</f>
        <v>10:9</v>
      </c>
      <c r="I12" s="18" t="str">
        <f ca="1">INDIRECT(ADDRESS(27,7))&amp;":"&amp;INDIRECT(ADDRESS(27,6))</f>
        <v>4:12</v>
      </c>
      <c r="J12" s="22" t="s">
        <v>72</v>
      </c>
      <c r="K12" s="66">
        <f ca="1">IF(COUNT(F13:J13)=0,"",COUNTIF(F13:J13,"&gt;0")+0.5*COUNTIF(F13:J13,0))</f>
        <v>3</v>
      </c>
      <c r="L12" s="14"/>
      <c r="M12" s="52">
        <v>1</v>
      </c>
    </row>
    <row r="13" spans="1:13" ht="21.75" thickBot="1" x14ac:dyDescent="0.3">
      <c r="A13" s="4">
        <v>9</v>
      </c>
      <c r="B13" s="75"/>
      <c r="C13" s="76"/>
      <c r="D13" s="77"/>
      <c r="E13" s="78"/>
      <c r="F13" s="23">
        <f ca="1">IF(LEN(INDIRECT(ADDRESS(ROW()-1, COLUMN())))=1,"",INDIRECT(ADDRESS(35,6))-INDIRECT(ADDRESS(35,7)))</f>
        <v>8</v>
      </c>
      <c r="G13" s="24">
        <f ca="1">IF(LEN(INDIRECT(ADDRESS(ROW()-1, COLUMN())))=1,"",INDIRECT(ADDRESS(18,7))-INDIRECT(ADDRESS(18,6)))</f>
        <v>2</v>
      </c>
      <c r="H13" s="24">
        <f ca="1">IF(LEN(INDIRECT(ADDRESS(ROW()-1, COLUMN())))=1,"",INDIRECT(ADDRESS(22,6))-INDIRECT(ADDRESS(22,7)))</f>
        <v>1</v>
      </c>
      <c r="I13" s="24">
        <f ca="1">IF(LEN(INDIRECT(ADDRESS(ROW()-1, COLUMN())))=1,"",INDIRECT(ADDRESS(27,7))-INDIRECT(ADDRESS(27,6)))</f>
        <v>-8</v>
      </c>
      <c r="J13" s="25" t="s">
        <v>72</v>
      </c>
      <c r="K13" s="79"/>
      <c r="L13" s="24">
        <f ca="1">IF(COUNT(F13:J13)=0,"",SUM(F13:J13))</f>
        <v>3</v>
      </c>
      <c r="M13" s="80"/>
    </row>
    <row r="14" spans="1:13" x14ac:dyDescent="0.25">
      <c r="M14"/>
    </row>
    <row r="15" spans="1:13" x14ac:dyDescent="0.25">
      <c r="M15"/>
    </row>
    <row r="16" spans="1:13" x14ac:dyDescent="0.25">
      <c r="M16"/>
    </row>
    <row r="17" spans="1:13" s="44" customFormat="1" ht="21.75" thickBot="1" x14ac:dyDescent="0.4">
      <c r="A17" s="43"/>
      <c r="B17" s="71" t="s">
        <v>73</v>
      </c>
      <c r="C17" s="71"/>
      <c r="D17" s="71"/>
      <c r="E17" s="71"/>
      <c r="F17" s="71"/>
      <c r="G17" s="71"/>
      <c r="H17" s="71"/>
      <c r="I17" s="71"/>
      <c r="J17" s="71"/>
      <c r="K17" s="71"/>
      <c r="M17" s="45"/>
    </row>
    <row r="18" spans="1:13" s="44" customFormat="1" ht="21.75" thickBot="1" x14ac:dyDescent="0.4">
      <c r="A18" s="43"/>
      <c r="B18" s="50">
        <v>2</v>
      </c>
      <c r="C18" s="81" t="str">
        <f ca="1">IF(ISBLANK(INDIRECT(ADDRESS(B18*2+2,3))),"",INDIRECT(ADDRESS(B18*2+2,3)))</f>
        <v>Вахрушев-Трутнев</v>
      </c>
      <c r="D18" s="81"/>
      <c r="E18" s="82"/>
      <c r="F18" s="47">
        <v>9</v>
      </c>
      <c r="G18" s="48">
        <v>11</v>
      </c>
      <c r="H18" s="83" t="str">
        <f ca="1">IF(ISBLANK(INDIRECT(ADDRESS(K18*2+2,3))),"",INDIRECT(ADDRESS(K18*2+2,3)))</f>
        <v>Глеклер-Царегородцев</v>
      </c>
      <c r="I18" s="81"/>
      <c r="J18" s="81"/>
      <c r="K18" s="50">
        <v>5</v>
      </c>
      <c r="L18" s="49" t="s">
        <v>74</v>
      </c>
      <c r="M18" s="43">
        <v>1</v>
      </c>
    </row>
    <row r="19" spans="1:13" s="44" customFormat="1" ht="21.75" thickBot="1" x14ac:dyDescent="0.4">
      <c r="A19" s="43"/>
      <c r="B19" s="50">
        <v>3</v>
      </c>
      <c r="C19" s="81" t="str">
        <f ca="1">IF(ISBLANK(INDIRECT(ADDRESS(B19*2+2,3))),"",INDIRECT(ADDRESS(B19*2+2,3)))</f>
        <v>Воронов-Тихонов</v>
      </c>
      <c r="D19" s="81"/>
      <c r="E19" s="82"/>
      <c r="F19" s="47">
        <v>13</v>
      </c>
      <c r="G19" s="48">
        <v>3</v>
      </c>
      <c r="H19" s="83" t="str">
        <f ca="1">IF(ISBLANK(INDIRECT(ADDRESS(K19*2+2,3))),"",INDIRECT(ADDRESS(K19*2+2,3)))</f>
        <v>Глуховский-Франк</v>
      </c>
      <c r="I19" s="81"/>
      <c r="J19" s="81"/>
      <c r="K19" s="50">
        <v>4</v>
      </c>
      <c r="L19" s="49" t="s">
        <v>74</v>
      </c>
      <c r="M19" s="43">
        <v>3</v>
      </c>
    </row>
    <row r="20" spans="1:13" s="44" customFormat="1" ht="30" customHeight="1" x14ac:dyDescent="0.35">
      <c r="A20" s="43"/>
      <c r="M20" s="46"/>
    </row>
    <row r="21" spans="1:13" s="44" customFormat="1" ht="21.75" thickBot="1" x14ac:dyDescent="0.4">
      <c r="A21" s="43"/>
      <c r="B21" s="71" t="s">
        <v>75</v>
      </c>
      <c r="C21" s="71"/>
      <c r="D21" s="71"/>
      <c r="E21" s="71"/>
      <c r="F21" s="71"/>
      <c r="G21" s="71"/>
      <c r="H21" s="71"/>
      <c r="I21" s="71"/>
      <c r="J21" s="71"/>
      <c r="K21" s="71"/>
      <c r="M21" s="46"/>
    </row>
    <row r="22" spans="1:13" s="44" customFormat="1" ht="21.75" thickBot="1" x14ac:dyDescent="0.4">
      <c r="A22" s="43"/>
      <c r="B22" s="50">
        <v>5</v>
      </c>
      <c r="C22" s="81" t="str">
        <f ca="1">IF(ISBLANK(INDIRECT(ADDRESS(B22*2+2,3))),"",INDIRECT(ADDRESS(B22*2+2,3)))</f>
        <v>Глеклер-Царегородцев</v>
      </c>
      <c r="D22" s="81"/>
      <c r="E22" s="82"/>
      <c r="F22" s="47">
        <v>10</v>
      </c>
      <c r="G22" s="48">
        <v>9</v>
      </c>
      <c r="H22" s="83" t="str">
        <f ca="1">IF(ISBLANK(INDIRECT(ADDRESS(K22*2+2,3))),"",INDIRECT(ADDRESS(K22*2+2,3)))</f>
        <v>Воронов-Тихонов</v>
      </c>
      <c r="I22" s="81"/>
      <c r="J22" s="81"/>
      <c r="K22" s="50">
        <v>3</v>
      </c>
      <c r="L22" s="49" t="s">
        <v>74</v>
      </c>
      <c r="M22" s="43">
        <v>4</v>
      </c>
    </row>
    <row r="23" spans="1:13" s="44" customFormat="1" ht="21.75" thickBot="1" x14ac:dyDescent="0.4">
      <c r="A23" s="43"/>
      <c r="B23" s="50">
        <v>1</v>
      </c>
      <c r="C23" s="81" t="str">
        <f ca="1">IF(ISBLANK(INDIRECT(ADDRESS(B23*2+2,3))),"",INDIRECT(ADDRESS(B23*2+2,3)))</f>
        <v>Лямунов-Шундрин</v>
      </c>
      <c r="D23" s="81"/>
      <c r="E23" s="82"/>
      <c r="F23" s="47">
        <v>7</v>
      </c>
      <c r="G23" s="48">
        <v>6</v>
      </c>
      <c r="H23" s="83" t="str">
        <f ca="1">IF(ISBLANK(INDIRECT(ADDRESS(K23*2+2,3))),"",INDIRECT(ADDRESS(K23*2+2,3)))</f>
        <v>Вахрушев-Трутнев</v>
      </c>
      <c r="I23" s="81"/>
      <c r="J23" s="81"/>
      <c r="K23" s="50">
        <v>2</v>
      </c>
      <c r="L23" s="49" t="s">
        <v>74</v>
      </c>
      <c r="M23" s="43">
        <v>6</v>
      </c>
    </row>
    <row r="24" spans="1:13" s="44" customFormat="1" ht="30" customHeight="1" x14ac:dyDescent="0.35">
      <c r="A24" s="43"/>
      <c r="M24" s="46"/>
    </row>
    <row r="25" spans="1:13" s="44" customFormat="1" ht="21.75" thickBot="1" x14ac:dyDescent="0.4">
      <c r="A25" s="43"/>
      <c r="B25" s="71" t="s">
        <v>76</v>
      </c>
      <c r="C25" s="71"/>
      <c r="D25" s="71"/>
      <c r="E25" s="71"/>
      <c r="F25" s="71"/>
      <c r="G25" s="71"/>
      <c r="H25" s="71"/>
      <c r="I25" s="71"/>
      <c r="J25" s="71"/>
      <c r="K25" s="71"/>
      <c r="M25" s="46"/>
    </row>
    <row r="26" spans="1:13" s="44" customFormat="1" ht="21.75" thickBot="1" x14ac:dyDescent="0.4">
      <c r="A26" s="43"/>
      <c r="B26" s="50">
        <v>3</v>
      </c>
      <c r="C26" s="81" t="str">
        <f ca="1">IF(ISBLANK(INDIRECT(ADDRESS(B26*2+2,3))),"",INDIRECT(ADDRESS(B26*2+2,3)))</f>
        <v>Воронов-Тихонов</v>
      </c>
      <c r="D26" s="81"/>
      <c r="E26" s="82"/>
      <c r="F26" s="47">
        <v>4</v>
      </c>
      <c r="G26" s="48">
        <v>8</v>
      </c>
      <c r="H26" s="83" t="str">
        <f ca="1">IF(ISBLANK(INDIRECT(ADDRESS(K26*2+2,3))),"",INDIRECT(ADDRESS(K26*2+2,3)))</f>
        <v>Лямунов-Шундрин</v>
      </c>
      <c r="I26" s="81"/>
      <c r="J26" s="81"/>
      <c r="K26" s="50">
        <v>1</v>
      </c>
      <c r="L26" s="49" t="s">
        <v>74</v>
      </c>
      <c r="M26" s="43">
        <v>1</v>
      </c>
    </row>
    <row r="27" spans="1:13" s="44" customFormat="1" ht="21.75" thickBot="1" x14ac:dyDescent="0.4">
      <c r="A27" s="43"/>
      <c r="B27" s="50">
        <v>4</v>
      </c>
      <c r="C27" s="81" t="str">
        <f ca="1">IF(ISBLANK(INDIRECT(ADDRESS(B27*2+2,3))),"",INDIRECT(ADDRESS(B27*2+2,3)))</f>
        <v>Глуховский-Франк</v>
      </c>
      <c r="D27" s="81"/>
      <c r="E27" s="82"/>
      <c r="F27" s="47">
        <v>12</v>
      </c>
      <c r="G27" s="48">
        <v>4</v>
      </c>
      <c r="H27" s="83" t="str">
        <f ca="1">IF(ISBLANK(INDIRECT(ADDRESS(K27*2+2,3))),"",INDIRECT(ADDRESS(K27*2+2,3)))</f>
        <v>Глеклер-Царегородцев</v>
      </c>
      <c r="I27" s="81"/>
      <c r="J27" s="81"/>
      <c r="K27" s="50">
        <v>5</v>
      </c>
      <c r="L27" s="49" t="s">
        <v>74</v>
      </c>
      <c r="M27" s="43">
        <v>3</v>
      </c>
    </row>
    <row r="28" spans="1:13" s="44" customFormat="1" ht="30" customHeight="1" x14ac:dyDescent="0.35">
      <c r="A28" s="43"/>
      <c r="M28" s="46"/>
    </row>
    <row r="29" spans="1:13" s="44" customFormat="1" ht="21.75" thickBot="1" x14ac:dyDescent="0.4">
      <c r="A29" s="43"/>
      <c r="B29" s="71" t="s">
        <v>77</v>
      </c>
      <c r="C29" s="71"/>
      <c r="D29" s="71"/>
      <c r="E29" s="71"/>
      <c r="F29" s="71"/>
      <c r="G29" s="71"/>
      <c r="H29" s="71"/>
      <c r="I29" s="71"/>
      <c r="J29" s="71"/>
      <c r="K29" s="71"/>
      <c r="M29" s="46"/>
    </row>
    <row r="30" spans="1:13" s="44" customFormat="1" ht="21.75" thickBot="1" x14ac:dyDescent="0.4">
      <c r="A30" s="43"/>
      <c r="B30" s="50">
        <v>1</v>
      </c>
      <c r="C30" s="81" t="str">
        <f ca="1">IF(ISBLANK(INDIRECT(ADDRESS(B30*2+2,3))),"",INDIRECT(ADDRESS(B30*2+2,3)))</f>
        <v>Лямунов-Шундрин</v>
      </c>
      <c r="D30" s="81"/>
      <c r="E30" s="82"/>
      <c r="F30" s="47">
        <v>8</v>
      </c>
      <c r="G30" s="48">
        <v>6</v>
      </c>
      <c r="H30" s="83" t="str">
        <f ca="1">IF(ISBLANK(INDIRECT(ADDRESS(K30*2+2,3))),"",INDIRECT(ADDRESS(K30*2+2,3)))</f>
        <v>Глуховский-Франк</v>
      </c>
      <c r="I30" s="81"/>
      <c r="J30" s="81"/>
      <c r="K30" s="50">
        <v>4</v>
      </c>
      <c r="L30" s="49" t="s">
        <v>74</v>
      </c>
      <c r="M30" s="43">
        <v>4</v>
      </c>
    </row>
    <row r="31" spans="1:13" s="44" customFormat="1" ht="21.75" thickBot="1" x14ac:dyDescent="0.4">
      <c r="A31" s="43"/>
      <c r="B31" s="50">
        <v>2</v>
      </c>
      <c r="C31" s="81" t="str">
        <f ca="1">IF(ISBLANK(INDIRECT(ADDRESS(B31*2+2,3))),"",INDIRECT(ADDRESS(B31*2+2,3)))</f>
        <v>Вахрушев-Трутнев</v>
      </c>
      <c r="D31" s="81"/>
      <c r="E31" s="82"/>
      <c r="F31" s="47">
        <v>13</v>
      </c>
      <c r="G31" s="48">
        <v>4</v>
      </c>
      <c r="H31" s="83" t="str">
        <f ca="1">IF(ISBLANK(INDIRECT(ADDRESS(K31*2+2,3))),"",INDIRECT(ADDRESS(K31*2+2,3)))</f>
        <v>Воронов-Тихонов</v>
      </c>
      <c r="I31" s="81"/>
      <c r="J31" s="81"/>
      <c r="K31" s="50">
        <v>3</v>
      </c>
      <c r="L31" s="49" t="s">
        <v>74</v>
      </c>
      <c r="M31" s="43">
        <v>6</v>
      </c>
    </row>
    <row r="32" spans="1:13" s="44" customFormat="1" ht="30" customHeight="1" x14ac:dyDescent="0.35">
      <c r="A32" s="43"/>
      <c r="M32" s="46"/>
    </row>
    <row r="33" spans="1:13" s="44" customFormat="1" ht="21.75" thickBot="1" x14ac:dyDescent="0.4">
      <c r="A33" s="43"/>
      <c r="B33" s="71" t="s">
        <v>78</v>
      </c>
      <c r="C33" s="71"/>
      <c r="D33" s="71"/>
      <c r="E33" s="71"/>
      <c r="F33" s="71"/>
      <c r="G33" s="71"/>
      <c r="H33" s="71"/>
      <c r="I33" s="71"/>
      <c r="J33" s="71"/>
      <c r="K33" s="71"/>
      <c r="M33" s="46"/>
    </row>
    <row r="34" spans="1:13" s="44" customFormat="1" ht="21.75" thickBot="1" x14ac:dyDescent="0.4">
      <c r="A34" s="43"/>
      <c r="B34" s="50">
        <v>4</v>
      </c>
      <c r="C34" s="81" t="str">
        <f ca="1">IF(ISBLANK(INDIRECT(ADDRESS(B34*2+2,3))),"",INDIRECT(ADDRESS(B34*2+2,3)))</f>
        <v>Глуховский-Франк</v>
      </c>
      <c r="D34" s="81"/>
      <c r="E34" s="82"/>
      <c r="F34" s="47">
        <v>7</v>
      </c>
      <c r="G34" s="48">
        <v>13</v>
      </c>
      <c r="H34" s="83" t="str">
        <f ca="1">IF(ISBLANK(INDIRECT(ADDRESS(K34*2+2,3))),"",INDIRECT(ADDRESS(K34*2+2,3)))</f>
        <v>Вахрушев-Трутнев</v>
      </c>
      <c r="I34" s="81"/>
      <c r="J34" s="81"/>
      <c r="K34" s="50">
        <v>2</v>
      </c>
      <c r="L34" s="49" t="s">
        <v>74</v>
      </c>
      <c r="M34" s="43">
        <v>1</v>
      </c>
    </row>
    <row r="35" spans="1:13" s="44" customFormat="1" ht="21.75" thickBot="1" x14ac:dyDescent="0.4">
      <c r="A35" s="43"/>
      <c r="B35" s="50">
        <v>5</v>
      </c>
      <c r="C35" s="81" t="str">
        <f ca="1">IF(ISBLANK(INDIRECT(ADDRESS(B35*2+2,3))),"",INDIRECT(ADDRESS(B35*2+2,3)))</f>
        <v>Глеклер-Царегородцев</v>
      </c>
      <c r="D35" s="81"/>
      <c r="E35" s="82"/>
      <c r="F35" s="47">
        <v>11</v>
      </c>
      <c r="G35" s="48">
        <v>3</v>
      </c>
      <c r="H35" s="83" t="str">
        <f ca="1">IF(ISBLANK(INDIRECT(ADDRESS(K35*2+2,3))),"",INDIRECT(ADDRESS(K35*2+2,3)))</f>
        <v>Лямунов-Шундрин</v>
      </c>
      <c r="I35" s="81"/>
      <c r="J35" s="81"/>
      <c r="K35" s="50">
        <v>1</v>
      </c>
      <c r="L35" s="49" t="s">
        <v>74</v>
      </c>
      <c r="M35" s="43">
        <v>3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5" sqref="O15"/>
    </sheetView>
  </sheetViews>
  <sheetFormatPr defaultRowHeight="15" x14ac:dyDescent="0.25"/>
  <cols>
    <col min="1" max="1" width="4" style="4" customWidth="1"/>
    <col min="2" max="12" width="10.28515625" customWidth="1"/>
    <col min="13" max="13" width="10.28515625" style="26" customWidth="1"/>
    <col min="14" max="15" width="10.28515625" customWidth="1"/>
  </cols>
  <sheetData>
    <row r="1" spans="1:13" ht="46.5" x14ac:dyDescent="0.25">
      <c r="B1" s="53" t="s">
        <v>80</v>
      </c>
      <c r="C1" s="53"/>
      <c r="D1" s="53"/>
      <c r="E1" s="53"/>
      <c r="F1" s="53"/>
      <c r="G1" s="53"/>
      <c r="H1" s="53"/>
      <c r="I1" s="53"/>
      <c r="J1" s="53"/>
      <c r="K1" s="53"/>
      <c r="M1"/>
    </row>
    <row r="2" spans="1:13" ht="15.75" thickBot="1" x14ac:dyDescent="0.3">
      <c r="M2"/>
    </row>
    <row r="3" spans="1:13" ht="15.75" thickBot="1" x14ac:dyDescent="0.3">
      <c r="B3" s="5"/>
      <c r="C3" s="54" t="s">
        <v>0</v>
      </c>
      <c r="D3" s="55"/>
      <c r="E3" s="56"/>
      <c r="F3" s="6">
        <v>1</v>
      </c>
      <c r="G3" s="6">
        <v>2</v>
      </c>
      <c r="H3" s="6">
        <v>3</v>
      </c>
      <c r="I3" s="7">
        <v>4</v>
      </c>
      <c r="J3" s="7">
        <v>5</v>
      </c>
      <c r="K3" s="5" t="s">
        <v>69</v>
      </c>
      <c r="L3" s="6" t="s">
        <v>70</v>
      </c>
      <c r="M3" s="8" t="s">
        <v>71</v>
      </c>
    </row>
    <row r="4" spans="1:13" ht="21" x14ac:dyDescent="0.25">
      <c r="A4" s="4" t="s">
        <v>85</v>
      </c>
      <c r="B4" s="57">
        <v>1</v>
      </c>
      <c r="C4" s="59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Догадин-Петрушко</v>
      </c>
      <c r="D4" s="60"/>
      <c r="E4" s="61"/>
      <c r="F4" s="9" t="s">
        <v>72</v>
      </c>
      <c r="G4" s="10" t="str">
        <f ca="1">INDIRECT(ADDRESS(23,6))&amp;":"&amp;INDIRECT(ADDRESS(23,7))</f>
        <v>11:9</v>
      </c>
      <c r="H4" s="10" t="str">
        <f ca="1">INDIRECT(ADDRESS(26,7))&amp;":"&amp;INDIRECT(ADDRESS(26,6))</f>
        <v>13:3</v>
      </c>
      <c r="I4" s="10" t="str">
        <f ca="1">INDIRECT(ADDRESS(30,6))&amp;":"&amp;INDIRECT(ADDRESS(30,7))</f>
        <v>9:7</v>
      </c>
      <c r="J4" s="11" t="str">
        <f ca="1">INDIRECT(ADDRESS(35,7))&amp;":"&amp;INDIRECT(ADDRESS(35,6))</f>
        <v>13:9</v>
      </c>
      <c r="K4" s="65">
        <f ca="1">IF(COUNT(F5:J5)=0,"",COUNTIF(F5:J5,"&gt;0")+0.5*COUNTIF(F5:J5,0))</f>
        <v>4</v>
      </c>
      <c r="L4" s="12"/>
      <c r="M4" s="51">
        <v>1</v>
      </c>
    </row>
    <row r="5" spans="1:13" ht="21" x14ac:dyDescent="0.25">
      <c r="A5" s="4">
        <v>2</v>
      </c>
      <c r="B5" s="58"/>
      <c r="C5" s="62"/>
      <c r="D5" s="63"/>
      <c r="E5" s="64"/>
      <c r="F5" s="13" t="s">
        <v>72</v>
      </c>
      <c r="G5" s="14">
        <f ca="1">IF(LEN(INDIRECT(ADDRESS(ROW()-1, COLUMN())))=1,"",INDIRECT(ADDRESS(23,6))-INDIRECT(ADDRESS(23,7)))</f>
        <v>2</v>
      </c>
      <c r="H5" s="14">
        <f ca="1">IF(LEN(INDIRECT(ADDRESS(ROW()-1, COLUMN())))=1,"",INDIRECT(ADDRESS(26,7))-INDIRECT(ADDRESS(26,6)))</f>
        <v>10</v>
      </c>
      <c r="I5" s="14">
        <f ca="1">IF(LEN(INDIRECT(ADDRESS(ROW()-1, COLUMN())))=1,"",INDIRECT(ADDRESS(30,6))-INDIRECT(ADDRESS(30,7)))</f>
        <v>2</v>
      </c>
      <c r="J5" s="15">
        <f ca="1">IF(LEN(INDIRECT(ADDRESS(ROW()-1, COLUMN())))=1,"",INDIRECT(ADDRESS(35,7))-INDIRECT(ADDRESS(35,6)))</f>
        <v>4</v>
      </c>
      <c r="K5" s="66"/>
      <c r="L5" s="14">
        <f ca="1">IF(COUNT(F5:J5)=0,"",SUM(F5:J5))</f>
        <v>18</v>
      </c>
      <c r="M5" s="52"/>
    </row>
    <row r="6" spans="1:13" ht="21" x14ac:dyDescent="0.25">
      <c r="A6" s="4" t="s">
        <v>85</v>
      </c>
      <c r="B6" s="67">
        <v>2</v>
      </c>
      <c r="C6" s="68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Земцов-Шапкин</v>
      </c>
      <c r="D6" s="69"/>
      <c r="E6" s="70"/>
      <c r="F6" s="16" t="str">
        <f ca="1">INDIRECT(ADDRESS(23,7))&amp;":"&amp;INDIRECT(ADDRESS(23,6))</f>
        <v>9:11</v>
      </c>
      <c r="G6" s="17" t="s">
        <v>72</v>
      </c>
      <c r="H6" s="18" t="str">
        <f ca="1">INDIRECT(ADDRESS(31,6))&amp;":"&amp;INDIRECT(ADDRESS(31,7))</f>
        <v>4:9</v>
      </c>
      <c r="I6" s="18" t="str">
        <f ca="1">INDIRECT(ADDRESS(34,7))&amp;":"&amp;INDIRECT(ADDRESS(34,6))</f>
        <v>10:8</v>
      </c>
      <c r="J6" s="19" t="str">
        <f ca="1">INDIRECT(ADDRESS(18,6))&amp;":"&amp;INDIRECT(ADDRESS(18,7))</f>
        <v>11:13</v>
      </c>
      <c r="K6" s="66">
        <f ca="1">IF(COUNT(F7:J7)=0,"",COUNTIF(F7:J7,"&gt;0")+0.5*COUNTIF(F7:J7,0))</f>
        <v>1</v>
      </c>
      <c r="L6" s="14"/>
      <c r="M6" s="52">
        <v>4</v>
      </c>
    </row>
    <row r="7" spans="1:13" ht="21" x14ac:dyDescent="0.25">
      <c r="A7" s="4">
        <v>6</v>
      </c>
      <c r="B7" s="58"/>
      <c r="C7" s="68"/>
      <c r="D7" s="69"/>
      <c r="E7" s="70"/>
      <c r="F7" s="20">
        <f ca="1">IF(LEN(INDIRECT(ADDRESS(ROW()-1, COLUMN())))=1,"",INDIRECT(ADDRESS(23,7))-INDIRECT(ADDRESS(23,6)))</f>
        <v>-2</v>
      </c>
      <c r="G7" s="21" t="s">
        <v>72</v>
      </c>
      <c r="H7" s="14">
        <f ca="1">IF(LEN(INDIRECT(ADDRESS(ROW()-1, COLUMN())))=1,"",INDIRECT(ADDRESS(31,6))-INDIRECT(ADDRESS(31,7)))</f>
        <v>-5</v>
      </c>
      <c r="I7" s="14">
        <f ca="1">IF(LEN(INDIRECT(ADDRESS(ROW()-1, COLUMN())))=1,"",INDIRECT(ADDRESS(34,7))-INDIRECT(ADDRESS(34,6)))</f>
        <v>2</v>
      </c>
      <c r="J7" s="15">
        <f ca="1">IF(LEN(INDIRECT(ADDRESS(ROW()-1, COLUMN())))=1,"",INDIRECT(ADDRESS(18,6))-INDIRECT(ADDRESS(18,7)))</f>
        <v>-2</v>
      </c>
      <c r="K7" s="66"/>
      <c r="L7" s="14">
        <f ca="1">IF(COUNT(F7:J7)=0,"",SUM(F7:J7))</f>
        <v>-7</v>
      </c>
      <c r="M7" s="52"/>
    </row>
    <row r="8" spans="1:13" ht="21" x14ac:dyDescent="0.25">
      <c r="A8" s="4" t="s">
        <v>85</v>
      </c>
      <c r="B8" s="67">
        <v>3</v>
      </c>
      <c r="C8" s="62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Бейгер-Каргашин</v>
      </c>
      <c r="D8" s="63"/>
      <c r="E8" s="64"/>
      <c r="F8" s="16" t="str">
        <f ca="1">INDIRECT(ADDRESS(26,6))&amp;":"&amp;INDIRECT(ADDRESS(26,7))</f>
        <v>3:13</v>
      </c>
      <c r="G8" s="18" t="str">
        <f ca="1">INDIRECT(ADDRESS(31,7))&amp;":"&amp;INDIRECT(ADDRESS(31,6))</f>
        <v>9:4</v>
      </c>
      <c r="H8" s="17" t="s">
        <v>72</v>
      </c>
      <c r="I8" s="18" t="str">
        <f ca="1">INDIRECT(ADDRESS(19,6))&amp;":"&amp;INDIRECT(ADDRESS(19,7))</f>
        <v>12:13</v>
      </c>
      <c r="J8" s="19" t="str">
        <f ca="1">INDIRECT(ADDRESS(22,7))&amp;":"&amp;INDIRECT(ADDRESS(22,6))</f>
        <v>10:9</v>
      </c>
      <c r="K8" s="66">
        <f ca="1">IF(COUNT(F9:J9)=0,"",COUNTIF(F9:J9,"&gt;0")+0.5*COUNTIF(F9:J9,0))</f>
        <v>2</v>
      </c>
      <c r="L8" s="14"/>
      <c r="M8" s="52">
        <v>2</v>
      </c>
    </row>
    <row r="9" spans="1:13" ht="21" x14ac:dyDescent="0.25">
      <c r="A9" s="4">
        <v>4</v>
      </c>
      <c r="B9" s="58"/>
      <c r="C9" s="62"/>
      <c r="D9" s="63"/>
      <c r="E9" s="64"/>
      <c r="F9" s="20">
        <f ca="1">IF(LEN(INDIRECT(ADDRESS(ROW()-1, COLUMN())))=1,"",INDIRECT(ADDRESS(26,6))-INDIRECT(ADDRESS(26,7)))</f>
        <v>-10</v>
      </c>
      <c r="G9" s="14">
        <f ca="1">IF(LEN(INDIRECT(ADDRESS(ROW()-1, COLUMN())))=1,"",INDIRECT(ADDRESS(31,7))-INDIRECT(ADDRESS(31,6)))</f>
        <v>5</v>
      </c>
      <c r="H9" s="21" t="s">
        <v>72</v>
      </c>
      <c r="I9" s="14">
        <f ca="1">IF(LEN(INDIRECT(ADDRESS(ROW()-1, COLUMN())))=1,"",INDIRECT(ADDRESS(19,6))-INDIRECT(ADDRESS(19,7)))</f>
        <v>-1</v>
      </c>
      <c r="J9" s="15">
        <f ca="1">IF(LEN(INDIRECT(ADDRESS(ROW()-1, COLUMN())))=1,"",INDIRECT(ADDRESS(22,7))-INDIRECT(ADDRESS(22,6)))</f>
        <v>1</v>
      </c>
      <c r="K9" s="66"/>
      <c r="L9" s="14">
        <f ca="1">IF(COUNT(F9:J9)=0,"",SUM(F9:J9))</f>
        <v>-5</v>
      </c>
      <c r="M9" s="52"/>
    </row>
    <row r="10" spans="1:13" ht="21" x14ac:dyDescent="0.25">
      <c r="A10" s="4" t="s">
        <v>85</v>
      </c>
      <c r="B10" s="67">
        <v>4</v>
      </c>
      <c r="C10" s="72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Комаров-Ницинский</v>
      </c>
      <c r="D10" s="73"/>
      <c r="E10" s="74"/>
      <c r="F10" s="16" t="str">
        <f ca="1">INDIRECT(ADDRESS(30,7))&amp;":"&amp;INDIRECT(ADDRESS(30,6))</f>
        <v>7:9</v>
      </c>
      <c r="G10" s="18" t="str">
        <f ca="1">INDIRECT(ADDRESS(34,6))&amp;":"&amp;INDIRECT(ADDRESS(34,7))</f>
        <v>8:10</v>
      </c>
      <c r="H10" s="18" t="str">
        <f ca="1">INDIRECT(ADDRESS(19,7))&amp;":"&amp;INDIRECT(ADDRESS(19,6))</f>
        <v>13:12</v>
      </c>
      <c r="I10" s="17" t="s">
        <v>72</v>
      </c>
      <c r="J10" s="19" t="str">
        <f ca="1">INDIRECT(ADDRESS(27,6))&amp;":"&amp;INDIRECT(ADDRESS(27,7))</f>
        <v>7:8</v>
      </c>
      <c r="K10" s="66">
        <f ca="1">IF(COUNT(F11:J11)=0,"",COUNTIF(F11:J11,"&gt;0")+0.5*COUNTIF(F11:J11,0))</f>
        <v>1</v>
      </c>
      <c r="L10" s="14"/>
      <c r="M10" s="52">
        <v>5</v>
      </c>
    </row>
    <row r="11" spans="1:13" ht="21" x14ac:dyDescent="0.25">
      <c r="A11" s="4">
        <v>8</v>
      </c>
      <c r="B11" s="58"/>
      <c r="C11" s="72"/>
      <c r="D11" s="73"/>
      <c r="E11" s="74"/>
      <c r="F11" s="20">
        <f ca="1">IF(LEN(INDIRECT(ADDRESS(ROW()-1, COLUMN())))=1,"",INDIRECT(ADDRESS(30,7))-INDIRECT(ADDRESS(30,6)))</f>
        <v>-2</v>
      </c>
      <c r="G11" s="14">
        <f ca="1">IF(LEN(INDIRECT(ADDRESS(ROW()-1, COLUMN())))=1,"",INDIRECT(ADDRESS(34,6))-INDIRECT(ADDRESS(34,7)))</f>
        <v>-2</v>
      </c>
      <c r="H11" s="14">
        <f ca="1">IF(LEN(INDIRECT(ADDRESS(ROW()-1, COLUMN())))=1,"",INDIRECT(ADDRESS(19,7))-INDIRECT(ADDRESS(19,6)))</f>
        <v>1</v>
      </c>
      <c r="I11" s="21" t="s">
        <v>72</v>
      </c>
      <c r="J11" s="15">
        <f ca="1">IF(LEN(INDIRECT(ADDRESS(ROW()-1, COLUMN())))=1,"",INDIRECT(ADDRESS(27,6))-INDIRECT(ADDRESS(27,7)))</f>
        <v>-1</v>
      </c>
      <c r="K11" s="66"/>
      <c r="L11" s="14">
        <f ca="1">IF(COUNT(F11:J11)=0,"",SUM(F11:J11))</f>
        <v>-4</v>
      </c>
      <c r="M11" s="52"/>
    </row>
    <row r="12" spans="1:13" ht="21" x14ac:dyDescent="0.25">
      <c r="A12" s="4" t="s">
        <v>85</v>
      </c>
      <c r="B12" s="67">
        <v>5</v>
      </c>
      <c r="C12" s="68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Агапов-Лютиков</v>
      </c>
      <c r="D12" s="69"/>
      <c r="E12" s="70"/>
      <c r="F12" s="16" t="str">
        <f ca="1">INDIRECT(ADDRESS(35,6))&amp;":"&amp;INDIRECT(ADDRESS(35,7))</f>
        <v>9:13</v>
      </c>
      <c r="G12" s="18" t="str">
        <f ca="1">INDIRECT(ADDRESS(18,7))&amp;":"&amp;INDIRECT(ADDRESS(18,6))</f>
        <v>13:11</v>
      </c>
      <c r="H12" s="18" t="str">
        <f ca="1">INDIRECT(ADDRESS(22,6))&amp;":"&amp;INDIRECT(ADDRESS(22,7))</f>
        <v>9:10</v>
      </c>
      <c r="I12" s="18" t="str">
        <f ca="1">INDIRECT(ADDRESS(27,7))&amp;":"&amp;INDIRECT(ADDRESS(27,6))</f>
        <v>8:7</v>
      </c>
      <c r="J12" s="22" t="s">
        <v>72</v>
      </c>
      <c r="K12" s="66">
        <f ca="1">IF(COUNT(F13:J13)=0,"",COUNTIF(F13:J13,"&gt;0")+0.5*COUNTIF(F13:J13,0))</f>
        <v>2</v>
      </c>
      <c r="L12" s="14"/>
      <c r="M12" s="52">
        <v>3</v>
      </c>
    </row>
    <row r="13" spans="1:13" ht="21.75" thickBot="1" x14ac:dyDescent="0.3">
      <c r="A13" s="4">
        <v>10</v>
      </c>
      <c r="B13" s="75"/>
      <c r="C13" s="84"/>
      <c r="D13" s="85"/>
      <c r="E13" s="86"/>
      <c r="F13" s="23">
        <f ca="1">IF(LEN(INDIRECT(ADDRESS(ROW()-1, COLUMN())))=1,"",INDIRECT(ADDRESS(35,6))-INDIRECT(ADDRESS(35,7)))</f>
        <v>-4</v>
      </c>
      <c r="G13" s="24">
        <f ca="1">IF(LEN(INDIRECT(ADDRESS(ROW()-1, COLUMN())))=1,"",INDIRECT(ADDRESS(18,7))-INDIRECT(ADDRESS(18,6)))</f>
        <v>2</v>
      </c>
      <c r="H13" s="24">
        <f ca="1">IF(LEN(INDIRECT(ADDRESS(ROW()-1, COLUMN())))=1,"",INDIRECT(ADDRESS(22,6))-INDIRECT(ADDRESS(22,7)))</f>
        <v>-1</v>
      </c>
      <c r="I13" s="24">
        <f ca="1">IF(LEN(INDIRECT(ADDRESS(ROW()-1, COLUMN())))=1,"",INDIRECT(ADDRESS(27,7))-INDIRECT(ADDRESS(27,6)))</f>
        <v>1</v>
      </c>
      <c r="J13" s="25" t="s">
        <v>72</v>
      </c>
      <c r="K13" s="79"/>
      <c r="L13" s="24">
        <f ca="1">IF(COUNT(F13:J13)=0,"",SUM(F13:J13))</f>
        <v>-2</v>
      </c>
      <c r="M13" s="80"/>
    </row>
    <row r="14" spans="1:13" x14ac:dyDescent="0.25">
      <c r="M14"/>
    </row>
    <row r="15" spans="1:13" x14ac:dyDescent="0.25">
      <c r="M15"/>
    </row>
    <row r="16" spans="1:13" x14ac:dyDescent="0.25">
      <c r="M16"/>
    </row>
    <row r="17" spans="1:13" s="44" customFormat="1" ht="21.75" thickBot="1" x14ac:dyDescent="0.4">
      <c r="A17" s="43"/>
      <c r="B17" s="71" t="s">
        <v>73</v>
      </c>
      <c r="C17" s="71"/>
      <c r="D17" s="71"/>
      <c r="E17" s="71"/>
      <c r="F17" s="71"/>
      <c r="G17" s="71"/>
      <c r="H17" s="71"/>
      <c r="I17" s="71"/>
      <c r="J17" s="71"/>
      <c r="K17" s="71"/>
      <c r="M17" s="45"/>
    </row>
    <row r="18" spans="1:13" s="44" customFormat="1" ht="21.75" thickBot="1" x14ac:dyDescent="0.4">
      <c r="A18" s="43"/>
      <c r="B18" s="50">
        <v>2</v>
      </c>
      <c r="C18" s="81" t="str">
        <f ca="1">IF(ISBLANK(INDIRECT(ADDRESS(B18*2+2,3))),"",INDIRECT(ADDRESS(B18*2+2,3)))</f>
        <v>Земцов-Шапкин</v>
      </c>
      <c r="D18" s="81"/>
      <c r="E18" s="82"/>
      <c r="F18" s="47">
        <v>11</v>
      </c>
      <c r="G18" s="48">
        <v>13</v>
      </c>
      <c r="H18" s="83" t="str">
        <f ca="1">IF(ISBLANK(INDIRECT(ADDRESS(K18*2+2,3))),"",INDIRECT(ADDRESS(K18*2+2,3)))</f>
        <v>Агапов-Лютиков</v>
      </c>
      <c r="I18" s="81"/>
      <c r="J18" s="81"/>
      <c r="K18" s="50">
        <v>5</v>
      </c>
      <c r="L18" s="49" t="s">
        <v>74</v>
      </c>
      <c r="M18" s="43">
        <v>4</v>
      </c>
    </row>
    <row r="19" spans="1:13" s="44" customFormat="1" ht="21.75" thickBot="1" x14ac:dyDescent="0.4">
      <c r="A19" s="43"/>
      <c r="B19" s="50">
        <v>3</v>
      </c>
      <c r="C19" s="81" t="str">
        <f ca="1">IF(ISBLANK(INDIRECT(ADDRESS(B19*2+2,3))),"",INDIRECT(ADDRESS(B19*2+2,3)))</f>
        <v>Бейгер-Каргашин</v>
      </c>
      <c r="D19" s="81"/>
      <c r="E19" s="82"/>
      <c r="F19" s="47">
        <v>12</v>
      </c>
      <c r="G19" s="48">
        <v>13</v>
      </c>
      <c r="H19" s="83" t="str">
        <f ca="1">IF(ISBLANK(INDIRECT(ADDRESS(K19*2+2,3))),"",INDIRECT(ADDRESS(K19*2+2,3)))</f>
        <v>Комаров-Ницинский</v>
      </c>
      <c r="I19" s="81"/>
      <c r="J19" s="81"/>
      <c r="K19" s="50">
        <v>4</v>
      </c>
      <c r="L19" s="49" t="s">
        <v>74</v>
      </c>
      <c r="M19" s="43">
        <v>6</v>
      </c>
    </row>
    <row r="20" spans="1:13" s="44" customFormat="1" ht="30" customHeight="1" x14ac:dyDescent="0.35">
      <c r="A20" s="43"/>
      <c r="M20" s="46"/>
    </row>
    <row r="21" spans="1:13" s="44" customFormat="1" ht="21.75" thickBot="1" x14ac:dyDescent="0.4">
      <c r="A21" s="43"/>
      <c r="B21" s="71" t="s">
        <v>75</v>
      </c>
      <c r="C21" s="71"/>
      <c r="D21" s="71"/>
      <c r="E21" s="71"/>
      <c r="F21" s="71"/>
      <c r="G21" s="71"/>
      <c r="H21" s="71"/>
      <c r="I21" s="71"/>
      <c r="J21" s="71"/>
      <c r="K21" s="71"/>
      <c r="M21" s="46"/>
    </row>
    <row r="22" spans="1:13" s="44" customFormat="1" ht="21.75" thickBot="1" x14ac:dyDescent="0.4">
      <c r="A22" s="43"/>
      <c r="B22" s="50">
        <v>5</v>
      </c>
      <c r="C22" s="81" t="str">
        <f ca="1">IF(ISBLANK(INDIRECT(ADDRESS(B22*2+2,3))),"",INDIRECT(ADDRESS(B22*2+2,3)))</f>
        <v>Агапов-Лютиков</v>
      </c>
      <c r="D22" s="81"/>
      <c r="E22" s="82"/>
      <c r="F22" s="47">
        <v>9</v>
      </c>
      <c r="G22" s="48">
        <v>10</v>
      </c>
      <c r="H22" s="83" t="str">
        <f ca="1">IF(ISBLANK(INDIRECT(ADDRESS(K22*2+2,3))),"",INDIRECT(ADDRESS(K22*2+2,3)))</f>
        <v>Бейгер-Каргашин</v>
      </c>
      <c r="I22" s="81"/>
      <c r="J22" s="81"/>
      <c r="K22" s="50">
        <v>3</v>
      </c>
      <c r="L22" s="49" t="s">
        <v>74</v>
      </c>
      <c r="M22" s="43">
        <v>1</v>
      </c>
    </row>
    <row r="23" spans="1:13" s="44" customFormat="1" ht="21.75" thickBot="1" x14ac:dyDescent="0.4">
      <c r="A23" s="43"/>
      <c r="B23" s="50">
        <v>1</v>
      </c>
      <c r="C23" s="81" t="str">
        <f ca="1">IF(ISBLANK(INDIRECT(ADDRESS(B23*2+2,3))),"",INDIRECT(ADDRESS(B23*2+2,3)))</f>
        <v>Догадин-Петрушко</v>
      </c>
      <c r="D23" s="81"/>
      <c r="E23" s="82"/>
      <c r="F23" s="47">
        <v>11</v>
      </c>
      <c r="G23" s="48">
        <v>9</v>
      </c>
      <c r="H23" s="83" t="str">
        <f ca="1">IF(ISBLANK(INDIRECT(ADDRESS(K23*2+2,3))),"",INDIRECT(ADDRESS(K23*2+2,3)))</f>
        <v>Земцов-Шапкин</v>
      </c>
      <c r="I23" s="81"/>
      <c r="J23" s="81"/>
      <c r="K23" s="50">
        <v>2</v>
      </c>
      <c r="L23" s="49" t="s">
        <v>74</v>
      </c>
      <c r="M23" s="43">
        <v>3</v>
      </c>
    </row>
    <row r="24" spans="1:13" s="44" customFormat="1" ht="30" customHeight="1" x14ac:dyDescent="0.35">
      <c r="A24" s="43"/>
      <c r="M24" s="46"/>
    </row>
    <row r="25" spans="1:13" s="44" customFormat="1" ht="21.75" thickBot="1" x14ac:dyDescent="0.4">
      <c r="A25" s="43"/>
      <c r="B25" s="71" t="s">
        <v>76</v>
      </c>
      <c r="C25" s="71"/>
      <c r="D25" s="71"/>
      <c r="E25" s="71"/>
      <c r="F25" s="71"/>
      <c r="G25" s="71"/>
      <c r="H25" s="71"/>
      <c r="I25" s="71"/>
      <c r="J25" s="71"/>
      <c r="K25" s="71"/>
      <c r="M25" s="46"/>
    </row>
    <row r="26" spans="1:13" s="44" customFormat="1" ht="21.75" thickBot="1" x14ac:dyDescent="0.4">
      <c r="A26" s="43"/>
      <c r="B26" s="50">
        <v>3</v>
      </c>
      <c r="C26" s="81" t="str">
        <f ca="1">IF(ISBLANK(INDIRECT(ADDRESS(B26*2+2,3))),"",INDIRECT(ADDRESS(B26*2+2,3)))</f>
        <v>Бейгер-Каргашин</v>
      </c>
      <c r="D26" s="81"/>
      <c r="E26" s="82"/>
      <c r="F26" s="47">
        <v>3</v>
      </c>
      <c r="G26" s="48">
        <v>13</v>
      </c>
      <c r="H26" s="83" t="str">
        <f ca="1">IF(ISBLANK(INDIRECT(ADDRESS(K26*2+2,3))),"",INDIRECT(ADDRESS(K26*2+2,3)))</f>
        <v>Догадин-Петрушко</v>
      </c>
      <c r="I26" s="81"/>
      <c r="J26" s="81"/>
      <c r="K26" s="50">
        <v>1</v>
      </c>
      <c r="L26" s="49" t="s">
        <v>74</v>
      </c>
      <c r="M26" s="43">
        <v>4</v>
      </c>
    </row>
    <row r="27" spans="1:13" s="44" customFormat="1" ht="21.75" thickBot="1" x14ac:dyDescent="0.4">
      <c r="A27" s="43"/>
      <c r="B27" s="50">
        <v>4</v>
      </c>
      <c r="C27" s="81" t="str">
        <f ca="1">IF(ISBLANK(INDIRECT(ADDRESS(B27*2+2,3))),"",INDIRECT(ADDRESS(B27*2+2,3)))</f>
        <v>Комаров-Ницинский</v>
      </c>
      <c r="D27" s="81"/>
      <c r="E27" s="82"/>
      <c r="F27" s="47">
        <v>7</v>
      </c>
      <c r="G27" s="48">
        <v>8</v>
      </c>
      <c r="H27" s="83" t="str">
        <f ca="1">IF(ISBLANK(INDIRECT(ADDRESS(K27*2+2,3))),"",INDIRECT(ADDRESS(K27*2+2,3)))</f>
        <v>Агапов-Лютиков</v>
      </c>
      <c r="I27" s="81"/>
      <c r="J27" s="81"/>
      <c r="K27" s="50">
        <v>5</v>
      </c>
      <c r="L27" s="49" t="s">
        <v>74</v>
      </c>
      <c r="M27" s="43">
        <v>6</v>
      </c>
    </row>
    <row r="28" spans="1:13" s="44" customFormat="1" ht="30" customHeight="1" x14ac:dyDescent="0.35">
      <c r="A28" s="43"/>
      <c r="M28" s="46"/>
    </row>
    <row r="29" spans="1:13" s="44" customFormat="1" ht="21.75" thickBot="1" x14ac:dyDescent="0.4">
      <c r="A29" s="43"/>
      <c r="B29" s="71" t="s">
        <v>77</v>
      </c>
      <c r="C29" s="71"/>
      <c r="D29" s="71"/>
      <c r="E29" s="71"/>
      <c r="F29" s="71"/>
      <c r="G29" s="71"/>
      <c r="H29" s="71"/>
      <c r="I29" s="71"/>
      <c r="J29" s="71"/>
      <c r="K29" s="71"/>
      <c r="M29" s="46"/>
    </row>
    <row r="30" spans="1:13" s="44" customFormat="1" ht="21.75" thickBot="1" x14ac:dyDescent="0.4">
      <c r="A30" s="43"/>
      <c r="B30" s="50">
        <v>1</v>
      </c>
      <c r="C30" s="81" t="str">
        <f ca="1">IF(ISBLANK(INDIRECT(ADDRESS(B30*2+2,3))),"",INDIRECT(ADDRESS(B30*2+2,3)))</f>
        <v>Догадин-Петрушко</v>
      </c>
      <c r="D30" s="81"/>
      <c r="E30" s="82"/>
      <c r="F30" s="47">
        <v>9</v>
      </c>
      <c r="G30" s="48">
        <v>7</v>
      </c>
      <c r="H30" s="83" t="str">
        <f ca="1">IF(ISBLANK(INDIRECT(ADDRESS(K30*2+2,3))),"",INDIRECT(ADDRESS(K30*2+2,3)))</f>
        <v>Комаров-Ницинский</v>
      </c>
      <c r="I30" s="81"/>
      <c r="J30" s="81"/>
      <c r="K30" s="50">
        <v>4</v>
      </c>
      <c r="L30" s="49" t="s">
        <v>74</v>
      </c>
      <c r="M30" s="43">
        <v>1</v>
      </c>
    </row>
    <row r="31" spans="1:13" s="44" customFormat="1" ht="21.75" thickBot="1" x14ac:dyDescent="0.4">
      <c r="A31" s="43"/>
      <c r="B31" s="50">
        <v>2</v>
      </c>
      <c r="C31" s="81" t="str">
        <f ca="1">IF(ISBLANK(INDIRECT(ADDRESS(B31*2+2,3))),"",INDIRECT(ADDRESS(B31*2+2,3)))</f>
        <v>Земцов-Шапкин</v>
      </c>
      <c r="D31" s="81"/>
      <c r="E31" s="82"/>
      <c r="F31" s="47">
        <v>4</v>
      </c>
      <c r="G31" s="48">
        <v>9</v>
      </c>
      <c r="H31" s="83" t="str">
        <f ca="1">IF(ISBLANK(INDIRECT(ADDRESS(K31*2+2,3))),"",INDIRECT(ADDRESS(K31*2+2,3)))</f>
        <v>Бейгер-Каргашин</v>
      </c>
      <c r="I31" s="81"/>
      <c r="J31" s="81"/>
      <c r="K31" s="50">
        <v>3</v>
      </c>
      <c r="L31" s="49" t="s">
        <v>74</v>
      </c>
      <c r="M31" s="43">
        <v>3</v>
      </c>
    </row>
    <row r="32" spans="1:13" s="44" customFormat="1" ht="30" customHeight="1" x14ac:dyDescent="0.35">
      <c r="A32" s="43"/>
      <c r="M32" s="46"/>
    </row>
    <row r="33" spans="1:13" s="44" customFormat="1" ht="21.75" thickBot="1" x14ac:dyDescent="0.4">
      <c r="A33" s="43"/>
      <c r="B33" s="71" t="s">
        <v>78</v>
      </c>
      <c r="C33" s="71"/>
      <c r="D33" s="71"/>
      <c r="E33" s="71"/>
      <c r="F33" s="71"/>
      <c r="G33" s="71"/>
      <c r="H33" s="71"/>
      <c r="I33" s="71"/>
      <c r="J33" s="71"/>
      <c r="K33" s="71"/>
      <c r="M33" s="46"/>
    </row>
    <row r="34" spans="1:13" s="44" customFormat="1" ht="21.75" thickBot="1" x14ac:dyDescent="0.4">
      <c r="A34" s="43"/>
      <c r="B34" s="50">
        <v>4</v>
      </c>
      <c r="C34" s="81" t="str">
        <f ca="1">IF(ISBLANK(INDIRECT(ADDRESS(B34*2+2,3))),"",INDIRECT(ADDRESS(B34*2+2,3)))</f>
        <v>Комаров-Ницинский</v>
      </c>
      <c r="D34" s="81"/>
      <c r="E34" s="82"/>
      <c r="F34" s="47">
        <v>8</v>
      </c>
      <c r="G34" s="48">
        <v>10</v>
      </c>
      <c r="H34" s="83" t="str">
        <f ca="1">IF(ISBLANK(INDIRECT(ADDRESS(K34*2+2,3))),"",INDIRECT(ADDRESS(K34*2+2,3)))</f>
        <v>Земцов-Шапкин</v>
      </c>
      <c r="I34" s="81"/>
      <c r="J34" s="81"/>
      <c r="K34" s="50">
        <v>2</v>
      </c>
      <c r="L34" s="49" t="s">
        <v>74</v>
      </c>
      <c r="M34" s="43">
        <v>4</v>
      </c>
    </row>
    <row r="35" spans="1:13" s="44" customFormat="1" ht="21.75" thickBot="1" x14ac:dyDescent="0.4">
      <c r="A35" s="43"/>
      <c r="B35" s="50">
        <v>5</v>
      </c>
      <c r="C35" s="81" t="str">
        <f ca="1">IF(ISBLANK(INDIRECT(ADDRESS(B35*2+2,3))),"",INDIRECT(ADDRESS(B35*2+2,3)))</f>
        <v>Агапов-Лютиков</v>
      </c>
      <c r="D35" s="81"/>
      <c r="E35" s="82"/>
      <c r="F35" s="47">
        <v>9</v>
      </c>
      <c r="G35" s="48">
        <v>13</v>
      </c>
      <c r="H35" s="83" t="str">
        <f ca="1">IF(ISBLANK(INDIRECT(ADDRESS(K35*2+2,3))),"",INDIRECT(ADDRESS(K35*2+2,3)))</f>
        <v>Догадин-Петрушко</v>
      </c>
      <c r="I35" s="81"/>
      <c r="J35" s="81"/>
      <c r="K35" s="50">
        <v>1</v>
      </c>
      <c r="L35" s="49" t="s">
        <v>74</v>
      </c>
      <c r="M35" s="43">
        <v>6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O13" sqref="O13"/>
    </sheetView>
  </sheetViews>
  <sheetFormatPr defaultRowHeight="15" x14ac:dyDescent="0.25"/>
  <cols>
    <col min="1" max="1" width="4" style="4" customWidth="1"/>
    <col min="2" max="12" width="10.28515625" customWidth="1"/>
    <col min="13" max="13" width="10.28515625" style="26" customWidth="1"/>
    <col min="14" max="15" width="10.28515625" customWidth="1"/>
  </cols>
  <sheetData>
    <row r="1" spans="1:14" ht="46.5" x14ac:dyDescent="0.25">
      <c r="B1" s="53" t="s">
        <v>81</v>
      </c>
      <c r="C1" s="53"/>
      <c r="D1" s="53"/>
      <c r="E1" s="53"/>
      <c r="F1" s="53"/>
      <c r="G1" s="53"/>
      <c r="H1" s="53"/>
      <c r="I1" s="53"/>
      <c r="J1" s="53"/>
      <c r="K1" s="53"/>
      <c r="M1"/>
    </row>
    <row r="2" spans="1:14" ht="15.75" thickBot="1" x14ac:dyDescent="0.3">
      <c r="M2"/>
    </row>
    <row r="3" spans="1:14" ht="15.75" thickBot="1" x14ac:dyDescent="0.3">
      <c r="B3" s="5"/>
      <c r="C3" s="54" t="s">
        <v>0</v>
      </c>
      <c r="D3" s="55"/>
      <c r="E3" s="56"/>
      <c r="F3" s="6">
        <v>1</v>
      </c>
      <c r="G3" s="6">
        <v>2</v>
      </c>
      <c r="H3" s="6">
        <v>3</v>
      </c>
      <c r="I3" s="7">
        <v>4</v>
      </c>
      <c r="J3" s="7">
        <v>5</v>
      </c>
      <c r="K3" s="5" t="s">
        <v>69</v>
      </c>
      <c r="L3" s="6" t="s">
        <v>70</v>
      </c>
      <c r="M3" s="8" t="s">
        <v>71</v>
      </c>
    </row>
    <row r="4" spans="1:14" ht="21" x14ac:dyDescent="0.25">
      <c r="A4" s="4" t="s">
        <v>85</v>
      </c>
      <c r="B4" s="57">
        <v>1</v>
      </c>
      <c r="C4" s="59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Волков-Гулинин</v>
      </c>
      <c r="D4" s="60"/>
      <c r="E4" s="61"/>
      <c r="F4" s="9" t="s">
        <v>72</v>
      </c>
      <c r="G4" s="10" t="str">
        <f ca="1">INDIRECT(ADDRESS(23,6))&amp;":"&amp;INDIRECT(ADDRESS(23,7))</f>
        <v>13:1</v>
      </c>
      <c r="H4" s="10" t="str">
        <f ca="1">INDIRECT(ADDRESS(26,7))&amp;":"&amp;INDIRECT(ADDRESS(26,6))</f>
        <v>12:3</v>
      </c>
      <c r="I4" s="10" t="str">
        <f ca="1">INDIRECT(ADDRESS(30,6))&amp;":"&amp;INDIRECT(ADDRESS(30,7))</f>
        <v>13:2</v>
      </c>
      <c r="J4" s="11" t="str">
        <f ca="1">INDIRECT(ADDRESS(35,7))&amp;":"&amp;INDIRECT(ADDRESS(35,6))</f>
        <v>13:4</v>
      </c>
      <c r="K4" s="65">
        <f ca="1">IF(COUNT(F5:J5)=0,"",COUNTIF(F5:J5,"&gt;0")+0.5*COUNTIF(F5:J5,0))</f>
        <v>4</v>
      </c>
      <c r="L4" s="12"/>
      <c r="M4" s="51">
        <v>1</v>
      </c>
    </row>
    <row r="5" spans="1:14" ht="21" x14ac:dyDescent="0.25">
      <c r="A5" s="4">
        <v>11</v>
      </c>
      <c r="B5" s="58"/>
      <c r="C5" s="62"/>
      <c r="D5" s="63"/>
      <c r="E5" s="64"/>
      <c r="F5" s="13" t="s">
        <v>72</v>
      </c>
      <c r="G5" s="14">
        <f ca="1">IF(LEN(INDIRECT(ADDRESS(ROW()-1, COLUMN())))=1,"",INDIRECT(ADDRESS(23,6))-INDIRECT(ADDRESS(23,7)))</f>
        <v>12</v>
      </c>
      <c r="H5" s="14">
        <f ca="1">IF(LEN(INDIRECT(ADDRESS(ROW()-1, COLUMN())))=1,"",INDIRECT(ADDRESS(26,7))-INDIRECT(ADDRESS(26,6)))</f>
        <v>9</v>
      </c>
      <c r="I5" s="14">
        <f ca="1">IF(LEN(INDIRECT(ADDRESS(ROW()-1, COLUMN())))=1,"",INDIRECT(ADDRESS(30,6))-INDIRECT(ADDRESS(30,7)))</f>
        <v>11</v>
      </c>
      <c r="J5" s="15">
        <f ca="1">IF(LEN(INDIRECT(ADDRESS(ROW()-1, COLUMN())))=1,"",INDIRECT(ADDRESS(35,7))-INDIRECT(ADDRESS(35,6)))</f>
        <v>9</v>
      </c>
      <c r="K5" s="66"/>
      <c r="L5" s="14">
        <f ca="1">IF(COUNT(F5:J5)=0,"",SUM(F5:J5))</f>
        <v>41</v>
      </c>
      <c r="M5" s="52"/>
    </row>
    <row r="6" spans="1:14" ht="21" x14ac:dyDescent="0.25">
      <c r="A6" s="4" t="s">
        <v>85</v>
      </c>
      <c r="B6" s="67">
        <v>2</v>
      </c>
      <c r="C6" s="68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Большаков-Зимин</v>
      </c>
      <c r="D6" s="69"/>
      <c r="E6" s="70"/>
      <c r="F6" s="16" t="str">
        <f ca="1">INDIRECT(ADDRESS(23,7))&amp;":"&amp;INDIRECT(ADDRESS(23,6))</f>
        <v>1:13</v>
      </c>
      <c r="G6" s="17" t="s">
        <v>72</v>
      </c>
      <c r="H6" s="18" t="str">
        <f ca="1">INDIRECT(ADDRESS(31,6))&amp;":"&amp;INDIRECT(ADDRESS(31,7))</f>
        <v>2:13</v>
      </c>
      <c r="I6" s="18" t="str">
        <f ca="1">INDIRECT(ADDRESS(34,7))&amp;":"&amp;INDIRECT(ADDRESS(34,6))</f>
        <v>13:10</v>
      </c>
      <c r="J6" s="19" t="str">
        <f ca="1">INDIRECT(ADDRESS(18,6))&amp;":"&amp;INDIRECT(ADDRESS(18,7))</f>
        <v>9:11</v>
      </c>
      <c r="K6" s="66">
        <f ca="1">IF(COUNT(F7:J7)=0,"",COUNTIF(F7:J7,"&gt;0")+0.5*COUNTIF(F7:J7,0))</f>
        <v>1</v>
      </c>
      <c r="L6" s="14"/>
      <c r="M6" s="52">
        <v>3</v>
      </c>
    </row>
    <row r="7" spans="1:14" ht="21" x14ac:dyDescent="0.25">
      <c r="A7" s="4">
        <v>15</v>
      </c>
      <c r="B7" s="58"/>
      <c r="C7" s="68"/>
      <c r="D7" s="69"/>
      <c r="E7" s="70"/>
      <c r="F7" s="20">
        <f ca="1">IF(LEN(INDIRECT(ADDRESS(ROW()-1, COLUMN())))=1,"",INDIRECT(ADDRESS(23,7))-INDIRECT(ADDRESS(23,6)))</f>
        <v>-12</v>
      </c>
      <c r="G7" s="21" t="s">
        <v>72</v>
      </c>
      <c r="H7" s="14">
        <f ca="1">IF(LEN(INDIRECT(ADDRESS(ROW()-1, COLUMN())))=1,"",INDIRECT(ADDRESS(31,6))-INDIRECT(ADDRESS(31,7)))</f>
        <v>-11</v>
      </c>
      <c r="I7" s="14">
        <f ca="1">IF(LEN(INDIRECT(ADDRESS(ROW()-1, COLUMN())))=1,"",INDIRECT(ADDRESS(34,7))-INDIRECT(ADDRESS(34,6)))</f>
        <v>3</v>
      </c>
      <c r="J7" s="15">
        <f ca="1">IF(LEN(INDIRECT(ADDRESS(ROW()-1, COLUMN())))=1,"",INDIRECT(ADDRESS(18,6))-INDIRECT(ADDRESS(18,7)))</f>
        <v>-2</v>
      </c>
      <c r="K7" s="66"/>
      <c r="L7" s="14">
        <f ca="1">IF(COUNT(F7:J7)=0,"",SUM(F7:J7))</f>
        <v>-22</v>
      </c>
      <c r="M7" s="52"/>
    </row>
    <row r="8" spans="1:14" ht="21" x14ac:dyDescent="0.25">
      <c r="A8" s="4" t="s">
        <v>85</v>
      </c>
      <c r="B8" s="67">
        <v>3</v>
      </c>
      <c r="C8" s="62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Гаджиев-Денисов</v>
      </c>
      <c r="D8" s="63"/>
      <c r="E8" s="64"/>
      <c r="F8" s="16" t="str">
        <f ca="1">INDIRECT(ADDRESS(26,6))&amp;":"&amp;INDIRECT(ADDRESS(26,7))</f>
        <v>3:12</v>
      </c>
      <c r="G8" s="18" t="str">
        <f ca="1">INDIRECT(ADDRESS(31,7))&amp;":"&amp;INDIRECT(ADDRESS(31,6))</f>
        <v>13:2</v>
      </c>
      <c r="H8" s="17" t="s">
        <v>72</v>
      </c>
      <c r="I8" s="18" t="str">
        <f ca="1">INDIRECT(ADDRESS(19,6))&amp;":"&amp;INDIRECT(ADDRESS(19,7))</f>
        <v>13:3</v>
      </c>
      <c r="J8" s="19" t="str">
        <f ca="1">INDIRECT(ADDRESS(22,7))&amp;":"&amp;INDIRECT(ADDRESS(22,6))</f>
        <v>9:3</v>
      </c>
      <c r="K8" s="66">
        <f ca="1">IF(COUNT(F9:J9)=0,"",COUNTIF(F9:J9,"&gt;0")+0.5*COUNTIF(F9:J9,0))</f>
        <v>3</v>
      </c>
      <c r="L8" s="14"/>
      <c r="M8" s="52">
        <v>2</v>
      </c>
    </row>
    <row r="9" spans="1:14" ht="21" x14ac:dyDescent="0.25">
      <c r="A9" s="4">
        <v>13</v>
      </c>
      <c r="B9" s="58"/>
      <c r="C9" s="62"/>
      <c r="D9" s="63"/>
      <c r="E9" s="64"/>
      <c r="F9" s="20">
        <f ca="1">IF(LEN(INDIRECT(ADDRESS(ROW()-1, COLUMN())))=1,"",INDIRECT(ADDRESS(26,6))-INDIRECT(ADDRESS(26,7)))</f>
        <v>-9</v>
      </c>
      <c r="G9" s="14">
        <f ca="1">IF(LEN(INDIRECT(ADDRESS(ROW()-1, COLUMN())))=1,"",INDIRECT(ADDRESS(31,7))-INDIRECT(ADDRESS(31,6)))</f>
        <v>11</v>
      </c>
      <c r="H9" s="21" t="s">
        <v>72</v>
      </c>
      <c r="I9" s="14">
        <f ca="1">IF(LEN(INDIRECT(ADDRESS(ROW()-1, COLUMN())))=1,"",INDIRECT(ADDRESS(19,6))-INDIRECT(ADDRESS(19,7)))</f>
        <v>10</v>
      </c>
      <c r="J9" s="15">
        <f ca="1">IF(LEN(INDIRECT(ADDRESS(ROW()-1, COLUMN())))=1,"",INDIRECT(ADDRESS(22,7))-INDIRECT(ADDRESS(22,6)))</f>
        <v>6</v>
      </c>
      <c r="K9" s="66"/>
      <c r="L9" s="14">
        <f ca="1">IF(COUNT(F9:J9)=0,"",SUM(F9:J9))</f>
        <v>18</v>
      </c>
      <c r="M9" s="52"/>
    </row>
    <row r="10" spans="1:14" ht="21" x14ac:dyDescent="0.25">
      <c r="A10" s="4" t="s">
        <v>85</v>
      </c>
      <c r="B10" s="67">
        <v>4</v>
      </c>
      <c r="C10" s="87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Базарев-Филатов</v>
      </c>
      <c r="D10" s="88"/>
      <c r="E10" s="89"/>
      <c r="F10" s="16" t="str">
        <f ca="1">INDIRECT(ADDRESS(30,7))&amp;":"&amp;INDIRECT(ADDRESS(30,6))</f>
        <v>2:13</v>
      </c>
      <c r="G10" s="18" t="str">
        <f ca="1">INDIRECT(ADDRESS(34,6))&amp;":"&amp;INDIRECT(ADDRESS(34,7))</f>
        <v>10:13</v>
      </c>
      <c r="H10" s="18" t="str">
        <f ca="1">INDIRECT(ADDRESS(19,7))&amp;":"&amp;INDIRECT(ADDRESS(19,6))</f>
        <v>3:13</v>
      </c>
      <c r="I10" s="17" t="s">
        <v>72</v>
      </c>
      <c r="J10" s="19" t="str">
        <f ca="1">INDIRECT(ADDRESS(27,6))&amp;":"&amp;INDIRECT(ADDRESS(27,7))</f>
        <v>13:0</v>
      </c>
      <c r="K10" s="66">
        <f ca="1">IF(COUNT(F11:J11)=0,"",COUNTIF(F11:J11,"&gt;0")+0.5*COUNTIF(F11:J11,0))</f>
        <v>1</v>
      </c>
      <c r="L10" s="14"/>
      <c r="M10" s="52" t="s">
        <v>93</v>
      </c>
    </row>
    <row r="11" spans="1:14" ht="21" x14ac:dyDescent="0.25">
      <c r="A11" s="4">
        <v>17</v>
      </c>
      <c r="B11" s="58"/>
      <c r="C11" s="87"/>
      <c r="D11" s="88"/>
      <c r="E11" s="89"/>
      <c r="F11" s="20">
        <f ca="1">IF(LEN(INDIRECT(ADDRESS(ROW()-1, COLUMN())))=1,"",INDIRECT(ADDRESS(30,7))-INDIRECT(ADDRESS(30,6)))</f>
        <v>-11</v>
      </c>
      <c r="G11" s="14">
        <f ca="1">IF(LEN(INDIRECT(ADDRESS(ROW()-1, COLUMN())))=1,"",INDIRECT(ADDRESS(34,6))-INDIRECT(ADDRESS(34,7)))</f>
        <v>-3</v>
      </c>
      <c r="H11" s="14">
        <f ca="1">IF(LEN(INDIRECT(ADDRESS(ROW()-1, COLUMN())))=1,"",INDIRECT(ADDRESS(19,7))-INDIRECT(ADDRESS(19,6)))</f>
        <v>-10</v>
      </c>
      <c r="I11" s="21" t="s">
        <v>72</v>
      </c>
      <c r="J11" s="15">
        <f ca="1">IF(LEN(INDIRECT(ADDRESS(ROW()-1, COLUMN())))=1,"",INDIRECT(ADDRESS(27,6))-INDIRECT(ADDRESS(27,7)))</f>
        <v>13</v>
      </c>
      <c r="K11" s="66"/>
      <c r="L11" s="14">
        <f ca="1">IF(COUNT(F11:J11)=0,"",SUM(F11:J11))</f>
        <v>-11</v>
      </c>
      <c r="M11" s="52"/>
      <c r="N11" t="s">
        <v>92</v>
      </c>
    </row>
    <row r="12" spans="1:14" ht="21" x14ac:dyDescent="0.25">
      <c r="A12" s="4" t="s">
        <v>85</v>
      </c>
      <c r="B12" s="67">
        <v>5</v>
      </c>
      <c r="C12" s="68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Новиков-Тарасов</v>
      </c>
      <c r="D12" s="69"/>
      <c r="E12" s="70"/>
      <c r="F12" s="16" t="str">
        <f ca="1">INDIRECT(ADDRESS(35,6))&amp;":"&amp;INDIRECT(ADDRESS(35,7))</f>
        <v>4:13</v>
      </c>
      <c r="G12" s="18" t="str">
        <f ca="1">INDIRECT(ADDRESS(18,7))&amp;":"&amp;INDIRECT(ADDRESS(18,6))</f>
        <v>11:9</v>
      </c>
      <c r="H12" s="18" t="str">
        <f ca="1">INDIRECT(ADDRESS(22,6))&amp;":"&amp;INDIRECT(ADDRESS(22,7))</f>
        <v>3:9</v>
      </c>
      <c r="I12" s="18" t="str">
        <f ca="1">INDIRECT(ADDRESS(27,7))&amp;":"&amp;INDIRECT(ADDRESS(27,6))</f>
        <v>0:13</v>
      </c>
      <c r="J12" s="22" t="s">
        <v>72</v>
      </c>
      <c r="K12" s="66">
        <f ca="1">IF(COUNT(F13:J13)=0,"",COUNTIF(F13:J13,"&gt;0")+0.5*COUNTIF(F13:J13,0))</f>
        <v>1</v>
      </c>
      <c r="L12" s="14"/>
      <c r="M12" s="52">
        <v>4</v>
      </c>
    </row>
    <row r="13" spans="1:14" ht="21.75" thickBot="1" x14ac:dyDescent="0.3">
      <c r="A13" s="4">
        <v>19</v>
      </c>
      <c r="B13" s="75"/>
      <c r="C13" s="84"/>
      <c r="D13" s="85"/>
      <c r="E13" s="86"/>
      <c r="F13" s="23">
        <f ca="1">IF(LEN(INDIRECT(ADDRESS(ROW()-1, COLUMN())))=1,"",INDIRECT(ADDRESS(35,6))-INDIRECT(ADDRESS(35,7)))</f>
        <v>-9</v>
      </c>
      <c r="G13" s="24">
        <f ca="1">IF(LEN(INDIRECT(ADDRESS(ROW()-1, COLUMN())))=1,"",INDIRECT(ADDRESS(18,7))-INDIRECT(ADDRESS(18,6)))</f>
        <v>2</v>
      </c>
      <c r="H13" s="24">
        <f ca="1">IF(LEN(INDIRECT(ADDRESS(ROW()-1, COLUMN())))=1,"",INDIRECT(ADDRESS(22,6))-INDIRECT(ADDRESS(22,7)))</f>
        <v>-6</v>
      </c>
      <c r="I13" s="24">
        <f ca="1">IF(LEN(INDIRECT(ADDRESS(ROW()-1, COLUMN())))=1,"",INDIRECT(ADDRESS(27,7))-INDIRECT(ADDRESS(27,6)))</f>
        <v>-13</v>
      </c>
      <c r="J13" s="25" t="s">
        <v>72</v>
      </c>
      <c r="K13" s="79"/>
      <c r="L13" s="24">
        <f ca="1">IF(COUNT(F13:J13)=0,"",SUM(F13:J13))</f>
        <v>-26</v>
      </c>
      <c r="M13" s="80"/>
    </row>
    <row r="14" spans="1:14" x14ac:dyDescent="0.25">
      <c r="M14"/>
    </row>
    <row r="15" spans="1:14" x14ac:dyDescent="0.25">
      <c r="M15"/>
    </row>
    <row r="16" spans="1:14" x14ac:dyDescent="0.25">
      <c r="M16"/>
    </row>
    <row r="17" spans="1:13" s="44" customFormat="1" ht="21.75" thickBot="1" x14ac:dyDescent="0.4">
      <c r="A17" s="43"/>
      <c r="B17" s="71" t="s">
        <v>73</v>
      </c>
      <c r="C17" s="71"/>
      <c r="D17" s="71"/>
      <c r="E17" s="71"/>
      <c r="F17" s="71"/>
      <c r="G17" s="71"/>
      <c r="H17" s="71"/>
      <c r="I17" s="71"/>
      <c r="J17" s="71"/>
      <c r="K17" s="71"/>
      <c r="M17" s="45"/>
    </row>
    <row r="18" spans="1:13" s="44" customFormat="1" ht="21.75" thickBot="1" x14ac:dyDescent="0.4">
      <c r="A18" s="43"/>
      <c r="B18" s="50">
        <v>2</v>
      </c>
      <c r="C18" s="81" t="str">
        <f ca="1">IF(ISBLANK(INDIRECT(ADDRESS(B18*2+2,3))),"",INDIRECT(ADDRESS(B18*2+2,3)))</f>
        <v>Большаков-Зимин</v>
      </c>
      <c r="D18" s="81"/>
      <c r="E18" s="82"/>
      <c r="F18" s="47">
        <v>9</v>
      </c>
      <c r="G18" s="48">
        <v>11</v>
      </c>
      <c r="H18" s="83" t="str">
        <f ca="1">IF(ISBLANK(INDIRECT(ADDRESS(K18*2+2,3))),"",INDIRECT(ADDRESS(K18*2+2,3)))</f>
        <v>Новиков-Тарасов</v>
      </c>
      <c r="I18" s="81"/>
      <c r="J18" s="81"/>
      <c r="K18" s="50">
        <v>5</v>
      </c>
      <c r="L18" s="49" t="s">
        <v>74</v>
      </c>
      <c r="M18" s="43">
        <v>1</v>
      </c>
    </row>
    <row r="19" spans="1:13" s="44" customFormat="1" ht="21.75" thickBot="1" x14ac:dyDescent="0.4">
      <c r="A19" s="43"/>
      <c r="B19" s="50">
        <v>3</v>
      </c>
      <c r="C19" s="81" t="str">
        <f ca="1">IF(ISBLANK(INDIRECT(ADDRESS(B19*2+2,3))),"",INDIRECT(ADDRESS(B19*2+2,3)))</f>
        <v>Гаджиев-Денисов</v>
      </c>
      <c r="D19" s="81"/>
      <c r="E19" s="82"/>
      <c r="F19" s="47">
        <v>13</v>
      </c>
      <c r="G19" s="48">
        <v>3</v>
      </c>
      <c r="H19" s="83" t="str">
        <f ca="1">IF(ISBLANK(INDIRECT(ADDRESS(K19*2+2,3))),"",INDIRECT(ADDRESS(K19*2+2,3)))</f>
        <v>Базарев-Филатов</v>
      </c>
      <c r="I19" s="81"/>
      <c r="J19" s="81"/>
      <c r="K19" s="50">
        <v>4</v>
      </c>
      <c r="L19" s="49" t="s">
        <v>74</v>
      </c>
      <c r="M19" s="43">
        <v>3</v>
      </c>
    </row>
    <row r="20" spans="1:13" s="44" customFormat="1" ht="30" customHeight="1" x14ac:dyDescent="0.35">
      <c r="A20" s="43"/>
      <c r="M20" s="46"/>
    </row>
    <row r="21" spans="1:13" s="44" customFormat="1" ht="21.75" thickBot="1" x14ac:dyDescent="0.4">
      <c r="A21" s="43"/>
      <c r="B21" s="71" t="s">
        <v>75</v>
      </c>
      <c r="C21" s="71"/>
      <c r="D21" s="71"/>
      <c r="E21" s="71"/>
      <c r="F21" s="71"/>
      <c r="G21" s="71"/>
      <c r="H21" s="71"/>
      <c r="I21" s="71"/>
      <c r="J21" s="71"/>
      <c r="K21" s="71"/>
      <c r="M21" s="46"/>
    </row>
    <row r="22" spans="1:13" s="44" customFormat="1" ht="21.75" thickBot="1" x14ac:dyDescent="0.4">
      <c r="A22" s="43"/>
      <c r="B22" s="50">
        <v>5</v>
      </c>
      <c r="C22" s="81" t="str">
        <f ca="1">IF(ISBLANK(INDIRECT(ADDRESS(B22*2+2,3))),"",INDIRECT(ADDRESS(B22*2+2,3)))</f>
        <v>Новиков-Тарасов</v>
      </c>
      <c r="D22" s="81"/>
      <c r="E22" s="82"/>
      <c r="F22" s="47">
        <v>3</v>
      </c>
      <c r="G22" s="48">
        <v>9</v>
      </c>
      <c r="H22" s="83" t="str">
        <f ca="1">IF(ISBLANK(INDIRECT(ADDRESS(K22*2+2,3))),"",INDIRECT(ADDRESS(K22*2+2,3)))</f>
        <v>Гаджиев-Денисов</v>
      </c>
      <c r="I22" s="81"/>
      <c r="J22" s="81"/>
      <c r="K22" s="50">
        <v>3</v>
      </c>
      <c r="L22" s="49" t="s">
        <v>74</v>
      </c>
      <c r="M22" s="43">
        <v>4</v>
      </c>
    </row>
    <row r="23" spans="1:13" s="44" customFormat="1" ht="21.75" thickBot="1" x14ac:dyDescent="0.4">
      <c r="A23" s="43"/>
      <c r="B23" s="50">
        <v>1</v>
      </c>
      <c r="C23" s="81" t="str">
        <f ca="1">IF(ISBLANK(INDIRECT(ADDRESS(B23*2+2,3))),"",INDIRECT(ADDRESS(B23*2+2,3)))</f>
        <v>Волков-Гулинин</v>
      </c>
      <c r="D23" s="81"/>
      <c r="E23" s="82"/>
      <c r="F23" s="47">
        <v>13</v>
      </c>
      <c r="G23" s="48">
        <v>1</v>
      </c>
      <c r="H23" s="83" t="str">
        <f ca="1">IF(ISBLANK(INDIRECT(ADDRESS(K23*2+2,3))),"",INDIRECT(ADDRESS(K23*2+2,3)))</f>
        <v>Большаков-Зимин</v>
      </c>
      <c r="I23" s="81"/>
      <c r="J23" s="81"/>
      <c r="K23" s="50">
        <v>2</v>
      </c>
      <c r="L23" s="49" t="s">
        <v>74</v>
      </c>
      <c r="M23" s="43">
        <v>6</v>
      </c>
    </row>
    <row r="24" spans="1:13" s="44" customFormat="1" ht="30" customHeight="1" x14ac:dyDescent="0.35">
      <c r="A24" s="43"/>
      <c r="M24" s="46"/>
    </row>
    <row r="25" spans="1:13" s="44" customFormat="1" ht="21.75" thickBot="1" x14ac:dyDescent="0.4">
      <c r="A25" s="43"/>
      <c r="B25" s="71" t="s">
        <v>76</v>
      </c>
      <c r="C25" s="71"/>
      <c r="D25" s="71"/>
      <c r="E25" s="71"/>
      <c r="F25" s="71"/>
      <c r="G25" s="71"/>
      <c r="H25" s="71"/>
      <c r="I25" s="71"/>
      <c r="J25" s="71"/>
      <c r="K25" s="71"/>
      <c r="M25" s="46"/>
    </row>
    <row r="26" spans="1:13" s="44" customFormat="1" ht="21.75" thickBot="1" x14ac:dyDescent="0.4">
      <c r="A26" s="43"/>
      <c r="B26" s="50">
        <v>3</v>
      </c>
      <c r="C26" s="81" t="str">
        <f ca="1">IF(ISBLANK(INDIRECT(ADDRESS(B26*2+2,3))),"",INDIRECT(ADDRESS(B26*2+2,3)))</f>
        <v>Гаджиев-Денисов</v>
      </c>
      <c r="D26" s="81"/>
      <c r="E26" s="82"/>
      <c r="F26" s="47">
        <v>3</v>
      </c>
      <c r="G26" s="48">
        <v>12</v>
      </c>
      <c r="H26" s="83" t="str">
        <f ca="1">IF(ISBLANK(INDIRECT(ADDRESS(K26*2+2,3))),"",INDIRECT(ADDRESS(K26*2+2,3)))</f>
        <v>Волков-Гулинин</v>
      </c>
      <c r="I26" s="81"/>
      <c r="J26" s="81"/>
      <c r="K26" s="50">
        <v>1</v>
      </c>
      <c r="L26" s="49" t="s">
        <v>74</v>
      </c>
      <c r="M26" s="43">
        <v>1</v>
      </c>
    </row>
    <row r="27" spans="1:13" s="44" customFormat="1" ht="21.75" thickBot="1" x14ac:dyDescent="0.4">
      <c r="A27" s="43"/>
      <c r="B27" s="50">
        <v>4</v>
      </c>
      <c r="C27" s="81" t="str">
        <f ca="1">IF(ISBLANK(INDIRECT(ADDRESS(B27*2+2,3))),"",INDIRECT(ADDRESS(B27*2+2,3)))</f>
        <v>Базарев-Филатов</v>
      </c>
      <c r="D27" s="81"/>
      <c r="E27" s="82"/>
      <c r="F27" s="47">
        <v>13</v>
      </c>
      <c r="G27" s="48">
        <v>0</v>
      </c>
      <c r="H27" s="83" t="str">
        <f ca="1">IF(ISBLANK(INDIRECT(ADDRESS(K27*2+2,3))),"",INDIRECT(ADDRESS(K27*2+2,3)))</f>
        <v>Новиков-Тарасов</v>
      </c>
      <c r="I27" s="81"/>
      <c r="J27" s="81"/>
      <c r="K27" s="50">
        <v>5</v>
      </c>
      <c r="L27" s="49" t="s">
        <v>74</v>
      </c>
      <c r="M27" s="43">
        <v>3</v>
      </c>
    </row>
    <row r="28" spans="1:13" s="44" customFormat="1" ht="30" customHeight="1" x14ac:dyDescent="0.35">
      <c r="A28" s="43"/>
      <c r="M28" s="46"/>
    </row>
    <row r="29" spans="1:13" s="44" customFormat="1" ht="21.75" thickBot="1" x14ac:dyDescent="0.4">
      <c r="A29" s="43"/>
      <c r="B29" s="71" t="s">
        <v>77</v>
      </c>
      <c r="C29" s="71"/>
      <c r="D29" s="71"/>
      <c r="E29" s="71"/>
      <c r="F29" s="71"/>
      <c r="G29" s="71"/>
      <c r="H29" s="71"/>
      <c r="I29" s="71"/>
      <c r="J29" s="71"/>
      <c r="K29" s="71"/>
      <c r="M29" s="46"/>
    </row>
    <row r="30" spans="1:13" s="44" customFormat="1" ht="21.75" thickBot="1" x14ac:dyDescent="0.4">
      <c r="A30" s="43"/>
      <c r="B30" s="50">
        <v>1</v>
      </c>
      <c r="C30" s="81" t="str">
        <f ca="1">IF(ISBLANK(INDIRECT(ADDRESS(B30*2+2,3))),"",INDIRECT(ADDRESS(B30*2+2,3)))</f>
        <v>Волков-Гулинин</v>
      </c>
      <c r="D30" s="81"/>
      <c r="E30" s="82"/>
      <c r="F30" s="47">
        <v>13</v>
      </c>
      <c r="G30" s="48">
        <v>2</v>
      </c>
      <c r="H30" s="83" t="str">
        <f ca="1">IF(ISBLANK(INDIRECT(ADDRESS(K30*2+2,3))),"",INDIRECT(ADDRESS(K30*2+2,3)))</f>
        <v>Базарев-Филатов</v>
      </c>
      <c r="I30" s="81"/>
      <c r="J30" s="81"/>
      <c r="K30" s="50">
        <v>4</v>
      </c>
      <c r="L30" s="49" t="s">
        <v>74</v>
      </c>
      <c r="M30" s="43">
        <v>4</v>
      </c>
    </row>
    <row r="31" spans="1:13" s="44" customFormat="1" ht="21.75" thickBot="1" x14ac:dyDescent="0.4">
      <c r="A31" s="43"/>
      <c r="B31" s="50">
        <v>2</v>
      </c>
      <c r="C31" s="81" t="str">
        <f ca="1">IF(ISBLANK(INDIRECT(ADDRESS(B31*2+2,3))),"",INDIRECT(ADDRESS(B31*2+2,3)))</f>
        <v>Большаков-Зимин</v>
      </c>
      <c r="D31" s="81"/>
      <c r="E31" s="82"/>
      <c r="F31" s="47">
        <v>2</v>
      </c>
      <c r="G31" s="48">
        <v>13</v>
      </c>
      <c r="H31" s="83" t="str">
        <f ca="1">IF(ISBLANK(INDIRECT(ADDRESS(K31*2+2,3))),"",INDIRECT(ADDRESS(K31*2+2,3)))</f>
        <v>Гаджиев-Денисов</v>
      </c>
      <c r="I31" s="81"/>
      <c r="J31" s="81"/>
      <c r="K31" s="50">
        <v>3</v>
      </c>
      <c r="L31" s="49" t="s">
        <v>74</v>
      </c>
      <c r="M31" s="43">
        <v>6</v>
      </c>
    </row>
    <row r="32" spans="1:13" s="44" customFormat="1" ht="30" customHeight="1" x14ac:dyDescent="0.35">
      <c r="A32" s="43"/>
      <c r="M32" s="46"/>
    </row>
    <row r="33" spans="1:13" s="44" customFormat="1" ht="21.75" thickBot="1" x14ac:dyDescent="0.4">
      <c r="A33" s="43"/>
      <c r="B33" s="71" t="s">
        <v>78</v>
      </c>
      <c r="C33" s="71"/>
      <c r="D33" s="71"/>
      <c r="E33" s="71"/>
      <c r="F33" s="71"/>
      <c r="G33" s="71"/>
      <c r="H33" s="71"/>
      <c r="I33" s="71"/>
      <c r="J33" s="71"/>
      <c r="K33" s="71"/>
      <c r="M33" s="46"/>
    </row>
    <row r="34" spans="1:13" s="44" customFormat="1" ht="21.75" thickBot="1" x14ac:dyDescent="0.4">
      <c r="A34" s="43"/>
      <c r="B34" s="50">
        <v>4</v>
      </c>
      <c r="C34" s="81" t="str">
        <f ca="1">IF(ISBLANK(INDIRECT(ADDRESS(B34*2+2,3))),"",INDIRECT(ADDRESS(B34*2+2,3)))</f>
        <v>Базарев-Филатов</v>
      </c>
      <c r="D34" s="81"/>
      <c r="E34" s="82"/>
      <c r="F34" s="47">
        <v>10</v>
      </c>
      <c r="G34" s="48">
        <v>13</v>
      </c>
      <c r="H34" s="83" t="str">
        <f ca="1">IF(ISBLANK(INDIRECT(ADDRESS(K34*2+2,3))),"",INDIRECT(ADDRESS(K34*2+2,3)))</f>
        <v>Большаков-Зимин</v>
      </c>
      <c r="I34" s="81"/>
      <c r="J34" s="81"/>
      <c r="K34" s="50">
        <v>2</v>
      </c>
      <c r="L34" s="49" t="s">
        <v>74</v>
      </c>
      <c r="M34" s="43">
        <v>1</v>
      </c>
    </row>
    <row r="35" spans="1:13" s="44" customFormat="1" ht="21.75" thickBot="1" x14ac:dyDescent="0.4">
      <c r="A35" s="43"/>
      <c r="B35" s="50">
        <v>5</v>
      </c>
      <c r="C35" s="81" t="str">
        <f ca="1">IF(ISBLANK(INDIRECT(ADDRESS(B35*2+2,3))),"",INDIRECT(ADDRESS(B35*2+2,3)))</f>
        <v>Новиков-Тарасов</v>
      </c>
      <c r="D35" s="81"/>
      <c r="E35" s="82"/>
      <c r="F35" s="47">
        <v>4</v>
      </c>
      <c r="G35" s="48">
        <v>13</v>
      </c>
      <c r="H35" s="83" t="str">
        <f ca="1">IF(ISBLANK(INDIRECT(ADDRESS(K35*2+2,3))),"",INDIRECT(ADDRESS(K35*2+2,3)))</f>
        <v>Волков-Гулинин</v>
      </c>
      <c r="I35" s="81"/>
      <c r="J35" s="81"/>
      <c r="K35" s="50">
        <v>1</v>
      </c>
      <c r="L35" s="49" t="s">
        <v>74</v>
      </c>
      <c r="M35" s="43">
        <v>3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I16" sqref="I16"/>
    </sheetView>
  </sheetViews>
  <sheetFormatPr defaultRowHeight="15" x14ac:dyDescent="0.25"/>
  <cols>
    <col min="1" max="1" width="4" style="4" customWidth="1"/>
    <col min="2" max="12" width="10.28515625" customWidth="1"/>
    <col min="13" max="13" width="10.28515625" style="26" customWidth="1"/>
    <col min="14" max="15" width="10.28515625" customWidth="1"/>
  </cols>
  <sheetData>
    <row r="1" spans="1:13" ht="46.5" x14ac:dyDescent="0.25">
      <c r="B1" s="53" t="s">
        <v>82</v>
      </c>
      <c r="C1" s="53"/>
      <c r="D1" s="53"/>
      <c r="E1" s="53"/>
      <c r="F1" s="53"/>
      <c r="G1" s="53"/>
      <c r="H1" s="53"/>
      <c r="I1" s="53"/>
      <c r="J1" s="53"/>
      <c r="K1" s="53"/>
      <c r="M1"/>
    </row>
    <row r="2" spans="1:13" ht="15.75" thickBot="1" x14ac:dyDescent="0.3">
      <c r="M2"/>
    </row>
    <row r="3" spans="1:13" ht="15.75" thickBot="1" x14ac:dyDescent="0.3">
      <c r="B3" s="5"/>
      <c r="C3" s="54" t="s">
        <v>0</v>
      </c>
      <c r="D3" s="55"/>
      <c r="E3" s="56"/>
      <c r="F3" s="6">
        <v>1</v>
      </c>
      <c r="G3" s="6">
        <v>2</v>
      </c>
      <c r="H3" s="6">
        <v>3</v>
      </c>
      <c r="I3" s="7">
        <v>4</v>
      </c>
      <c r="J3" s="7">
        <v>5</v>
      </c>
      <c r="K3" s="5" t="s">
        <v>69</v>
      </c>
      <c r="L3" s="6" t="s">
        <v>70</v>
      </c>
      <c r="M3" s="8" t="s">
        <v>71</v>
      </c>
    </row>
    <row r="4" spans="1:13" ht="21" x14ac:dyDescent="0.25">
      <c r="A4" s="4" t="s">
        <v>85</v>
      </c>
      <c r="B4" s="57">
        <v>1</v>
      </c>
      <c r="C4" s="90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Дубовицкий-Хафидо</v>
      </c>
      <c r="D4" s="91"/>
      <c r="E4" s="92"/>
      <c r="F4" s="9" t="s">
        <v>72</v>
      </c>
      <c r="G4" s="10" t="str">
        <f ca="1">INDIRECT(ADDRESS(23,6))&amp;":"&amp;INDIRECT(ADDRESS(23,7))</f>
        <v>12:0</v>
      </c>
      <c r="H4" s="10" t="str">
        <f ca="1">INDIRECT(ADDRESS(26,7))&amp;":"&amp;INDIRECT(ADDRESS(26,6))</f>
        <v>7:12</v>
      </c>
      <c r="I4" s="10" t="str">
        <f ca="1">INDIRECT(ADDRESS(30,6))&amp;":"&amp;INDIRECT(ADDRESS(30,7))</f>
        <v>6:7</v>
      </c>
      <c r="J4" s="11" t="str">
        <f ca="1">INDIRECT(ADDRESS(35,7))&amp;":"&amp;INDIRECT(ADDRESS(35,6))</f>
        <v>10:9</v>
      </c>
      <c r="K4" s="65">
        <f ca="1">IF(COUNT(F5:J5)=0,"",COUNTIF(F5:J5,"&gt;0")+0.5*COUNTIF(F5:J5,0))</f>
        <v>2</v>
      </c>
      <c r="L4" s="12"/>
      <c r="M4" s="51">
        <v>3</v>
      </c>
    </row>
    <row r="5" spans="1:13" ht="21" x14ac:dyDescent="0.25">
      <c r="A5" s="4">
        <v>12</v>
      </c>
      <c r="B5" s="58"/>
      <c r="C5" s="68"/>
      <c r="D5" s="69"/>
      <c r="E5" s="70"/>
      <c r="F5" s="13" t="s">
        <v>72</v>
      </c>
      <c r="G5" s="14">
        <f ca="1">IF(LEN(INDIRECT(ADDRESS(ROW()-1, COLUMN())))=1,"",INDIRECT(ADDRESS(23,6))-INDIRECT(ADDRESS(23,7)))</f>
        <v>12</v>
      </c>
      <c r="H5" s="14">
        <f ca="1">IF(LEN(INDIRECT(ADDRESS(ROW()-1, COLUMN())))=1,"",INDIRECT(ADDRESS(26,7))-INDIRECT(ADDRESS(26,6)))</f>
        <v>-5</v>
      </c>
      <c r="I5" s="14">
        <f ca="1">IF(LEN(INDIRECT(ADDRESS(ROW()-1, COLUMN())))=1,"",INDIRECT(ADDRESS(30,6))-INDIRECT(ADDRESS(30,7)))</f>
        <v>-1</v>
      </c>
      <c r="J5" s="15">
        <f ca="1">IF(LEN(INDIRECT(ADDRESS(ROW()-1, COLUMN())))=1,"",INDIRECT(ADDRESS(35,7))-INDIRECT(ADDRESS(35,6)))</f>
        <v>1</v>
      </c>
      <c r="K5" s="66"/>
      <c r="L5" s="14">
        <f ca="1">IF(COUNT(F5:J5)=0,"",SUM(F5:J5))</f>
        <v>7</v>
      </c>
      <c r="M5" s="52"/>
    </row>
    <row r="6" spans="1:13" ht="21" x14ac:dyDescent="0.25">
      <c r="A6" s="4" t="s">
        <v>85</v>
      </c>
      <c r="B6" s="67">
        <v>2</v>
      </c>
      <c r="C6" s="68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Давыдов-Трофимов</v>
      </c>
      <c r="D6" s="69"/>
      <c r="E6" s="70"/>
      <c r="F6" s="16" t="str">
        <f ca="1">INDIRECT(ADDRESS(23,7))&amp;":"&amp;INDIRECT(ADDRESS(23,6))</f>
        <v>0:12</v>
      </c>
      <c r="G6" s="17" t="s">
        <v>72</v>
      </c>
      <c r="H6" s="18" t="str">
        <f ca="1">INDIRECT(ADDRESS(31,6))&amp;":"&amp;INDIRECT(ADDRESS(31,7))</f>
        <v>5:9</v>
      </c>
      <c r="I6" s="18" t="str">
        <f ca="1">INDIRECT(ADDRESS(34,7))&amp;":"&amp;INDIRECT(ADDRESS(34,6))</f>
        <v>6:7</v>
      </c>
      <c r="J6" s="19" t="str">
        <f ca="1">INDIRECT(ADDRESS(18,6))&amp;":"&amp;INDIRECT(ADDRESS(18,7))</f>
        <v>13:3</v>
      </c>
      <c r="K6" s="66">
        <f ca="1">IF(COUNT(F7:J7)=0,"",COUNTIF(F7:J7,"&gt;0")+0.5*COUNTIF(F7:J7,0))</f>
        <v>1</v>
      </c>
      <c r="L6" s="14"/>
      <c r="M6" s="52">
        <v>4</v>
      </c>
    </row>
    <row r="7" spans="1:13" ht="21" x14ac:dyDescent="0.25">
      <c r="A7" s="4">
        <v>16</v>
      </c>
      <c r="B7" s="58"/>
      <c r="C7" s="68"/>
      <c r="D7" s="69"/>
      <c r="E7" s="70"/>
      <c r="F7" s="20">
        <f ca="1">IF(LEN(INDIRECT(ADDRESS(ROW()-1, COLUMN())))=1,"",INDIRECT(ADDRESS(23,7))-INDIRECT(ADDRESS(23,6)))</f>
        <v>-12</v>
      </c>
      <c r="G7" s="21" t="s">
        <v>72</v>
      </c>
      <c r="H7" s="14">
        <f ca="1">IF(LEN(INDIRECT(ADDRESS(ROW()-1, COLUMN())))=1,"",INDIRECT(ADDRESS(31,6))-INDIRECT(ADDRESS(31,7)))</f>
        <v>-4</v>
      </c>
      <c r="I7" s="14">
        <f ca="1">IF(LEN(INDIRECT(ADDRESS(ROW()-1, COLUMN())))=1,"",INDIRECT(ADDRESS(34,7))-INDIRECT(ADDRESS(34,6)))</f>
        <v>-1</v>
      </c>
      <c r="J7" s="15">
        <f ca="1">IF(LEN(INDIRECT(ADDRESS(ROW()-1, COLUMN())))=1,"",INDIRECT(ADDRESS(18,6))-INDIRECT(ADDRESS(18,7)))</f>
        <v>10</v>
      </c>
      <c r="K7" s="66"/>
      <c r="L7" s="14">
        <f ca="1">IF(COUNT(F7:J7)=0,"",SUM(F7:J7))</f>
        <v>-7</v>
      </c>
      <c r="M7" s="52"/>
    </row>
    <row r="8" spans="1:13" ht="21" x14ac:dyDescent="0.25">
      <c r="A8" s="4" t="s">
        <v>85</v>
      </c>
      <c r="B8" s="67">
        <v>3</v>
      </c>
      <c r="C8" s="62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Гоцфрид-Осокин</v>
      </c>
      <c r="D8" s="63"/>
      <c r="E8" s="64"/>
      <c r="F8" s="16" t="str">
        <f ca="1">INDIRECT(ADDRESS(26,6))&amp;":"&amp;INDIRECT(ADDRESS(26,7))</f>
        <v>12:7</v>
      </c>
      <c r="G8" s="18" t="str">
        <f ca="1">INDIRECT(ADDRESS(31,7))&amp;":"&amp;INDIRECT(ADDRESS(31,6))</f>
        <v>9:5</v>
      </c>
      <c r="H8" s="17" t="s">
        <v>72</v>
      </c>
      <c r="I8" s="18" t="str">
        <f ca="1">INDIRECT(ADDRESS(19,6))&amp;":"&amp;INDIRECT(ADDRESS(19,7))</f>
        <v>11:10</v>
      </c>
      <c r="J8" s="19" t="str">
        <f ca="1">INDIRECT(ADDRESS(22,7))&amp;":"&amp;INDIRECT(ADDRESS(22,6))</f>
        <v>13:5</v>
      </c>
      <c r="K8" s="66">
        <f ca="1">IF(COUNT(F9:J9)=0,"",COUNTIF(F9:J9,"&gt;0")+0.5*COUNTIF(F9:J9,0))</f>
        <v>4</v>
      </c>
      <c r="L8" s="14"/>
      <c r="M8" s="52">
        <v>1</v>
      </c>
    </row>
    <row r="9" spans="1:13" ht="21" x14ac:dyDescent="0.25">
      <c r="A9" s="4">
        <v>14</v>
      </c>
      <c r="B9" s="58"/>
      <c r="C9" s="62"/>
      <c r="D9" s="63"/>
      <c r="E9" s="64"/>
      <c r="F9" s="20">
        <f ca="1">IF(LEN(INDIRECT(ADDRESS(ROW()-1, COLUMN())))=1,"",INDIRECT(ADDRESS(26,6))-INDIRECT(ADDRESS(26,7)))</f>
        <v>5</v>
      </c>
      <c r="G9" s="14">
        <f ca="1">IF(LEN(INDIRECT(ADDRESS(ROW()-1, COLUMN())))=1,"",INDIRECT(ADDRESS(31,7))-INDIRECT(ADDRESS(31,6)))</f>
        <v>4</v>
      </c>
      <c r="H9" s="21" t="s">
        <v>72</v>
      </c>
      <c r="I9" s="14">
        <f ca="1">IF(LEN(INDIRECT(ADDRESS(ROW()-1, COLUMN())))=1,"",INDIRECT(ADDRESS(19,6))-INDIRECT(ADDRESS(19,7)))</f>
        <v>1</v>
      </c>
      <c r="J9" s="15">
        <f ca="1">IF(LEN(INDIRECT(ADDRESS(ROW()-1, COLUMN())))=1,"",INDIRECT(ADDRESS(22,7))-INDIRECT(ADDRESS(22,6)))</f>
        <v>8</v>
      </c>
      <c r="K9" s="66"/>
      <c r="L9" s="14">
        <f ca="1">IF(COUNT(F9:J9)=0,"",SUM(F9:J9))</f>
        <v>18</v>
      </c>
      <c r="M9" s="52"/>
    </row>
    <row r="10" spans="1:13" ht="21" x14ac:dyDescent="0.25">
      <c r="A10" s="4" t="s">
        <v>85</v>
      </c>
      <c r="B10" s="67">
        <v>4</v>
      </c>
      <c r="C10" s="62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Кравцов-Поляков</v>
      </c>
      <c r="D10" s="63"/>
      <c r="E10" s="64"/>
      <c r="F10" s="16" t="str">
        <f ca="1">INDIRECT(ADDRESS(30,7))&amp;":"&amp;INDIRECT(ADDRESS(30,6))</f>
        <v>7:6</v>
      </c>
      <c r="G10" s="18" t="str">
        <f ca="1">INDIRECT(ADDRESS(34,6))&amp;":"&amp;INDIRECT(ADDRESS(34,7))</f>
        <v>7:6</v>
      </c>
      <c r="H10" s="18" t="str">
        <f ca="1">INDIRECT(ADDRESS(19,7))&amp;":"&amp;INDIRECT(ADDRESS(19,6))</f>
        <v>10:11</v>
      </c>
      <c r="I10" s="17" t="s">
        <v>72</v>
      </c>
      <c r="J10" s="19" t="str">
        <f ca="1">INDIRECT(ADDRESS(27,6))&amp;":"&amp;INDIRECT(ADDRESS(27,7))</f>
        <v>5:11</v>
      </c>
      <c r="K10" s="66">
        <f ca="1">IF(COUNT(F11:J11)=0,"",COUNTIF(F11:J11,"&gt;0")+0.5*COUNTIF(F11:J11,0))</f>
        <v>2</v>
      </c>
      <c r="L10" s="14"/>
      <c r="M10" s="52">
        <v>2</v>
      </c>
    </row>
    <row r="11" spans="1:13" ht="21" x14ac:dyDescent="0.25">
      <c r="A11" s="4">
        <v>18</v>
      </c>
      <c r="B11" s="58"/>
      <c r="C11" s="62"/>
      <c r="D11" s="63"/>
      <c r="E11" s="64"/>
      <c r="F11" s="20">
        <f ca="1">IF(LEN(INDIRECT(ADDRESS(ROW()-1, COLUMN())))=1,"",INDIRECT(ADDRESS(30,7))-INDIRECT(ADDRESS(30,6)))</f>
        <v>1</v>
      </c>
      <c r="G11" s="14">
        <f ca="1">IF(LEN(INDIRECT(ADDRESS(ROW()-1, COLUMN())))=1,"",INDIRECT(ADDRESS(34,6))-INDIRECT(ADDRESS(34,7)))</f>
        <v>1</v>
      </c>
      <c r="H11" s="14">
        <f ca="1">IF(LEN(INDIRECT(ADDRESS(ROW()-1, COLUMN())))=1,"",INDIRECT(ADDRESS(19,7))-INDIRECT(ADDRESS(19,6)))</f>
        <v>-1</v>
      </c>
      <c r="I11" s="21" t="s">
        <v>72</v>
      </c>
      <c r="J11" s="15">
        <f ca="1">IF(LEN(INDIRECT(ADDRESS(ROW()-1, COLUMN())))=1,"",INDIRECT(ADDRESS(27,6))-INDIRECT(ADDRESS(27,7)))</f>
        <v>-6</v>
      </c>
      <c r="K11" s="66"/>
      <c r="L11" s="14">
        <f ca="1">IF(COUNT(F11:J11)=0,"",SUM(F11:J11))</f>
        <v>-5</v>
      </c>
      <c r="M11" s="52"/>
    </row>
    <row r="12" spans="1:13" ht="21" x14ac:dyDescent="0.25">
      <c r="A12" s="4" t="s">
        <v>85</v>
      </c>
      <c r="B12" s="67">
        <v>5</v>
      </c>
      <c r="C12" s="72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Гусев-Папоян</v>
      </c>
      <c r="D12" s="73"/>
      <c r="E12" s="74"/>
      <c r="F12" s="16" t="str">
        <f ca="1">INDIRECT(ADDRESS(35,6))&amp;":"&amp;INDIRECT(ADDRESS(35,7))</f>
        <v>9:10</v>
      </c>
      <c r="G12" s="18" t="str">
        <f ca="1">INDIRECT(ADDRESS(18,7))&amp;":"&amp;INDIRECT(ADDRESS(18,6))</f>
        <v>3:13</v>
      </c>
      <c r="H12" s="18" t="str">
        <f ca="1">INDIRECT(ADDRESS(22,6))&amp;":"&amp;INDIRECT(ADDRESS(22,7))</f>
        <v>5:13</v>
      </c>
      <c r="I12" s="18" t="str">
        <f ca="1">INDIRECT(ADDRESS(27,7))&amp;":"&amp;INDIRECT(ADDRESS(27,6))</f>
        <v>11:5</v>
      </c>
      <c r="J12" s="22" t="s">
        <v>72</v>
      </c>
      <c r="K12" s="66">
        <f ca="1">IF(COUNT(F13:J13)=0,"",COUNTIF(F13:J13,"&gt;0")+0.5*COUNTIF(F13:J13,0))</f>
        <v>1</v>
      </c>
      <c r="L12" s="14"/>
      <c r="M12" s="52">
        <v>5</v>
      </c>
    </row>
    <row r="13" spans="1:13" ht="21.75" thickBot="1" x14ac:dyDescent="0.3">
      <c r="A13" s="4">
        <v>20</v>
      </c>
      <c r="B13" s="75"/>
      <c r="C13" s="93"/>
      <c r="D13" s="94"/>
      <c r="E13" s="95"/>
      <c r="F13" s="23">
        <f ca="1">IF(LEN(INDIRECT(ADDRESS(ROW()-1, COLUMN())))=1,"",INDIRECT(ADDRESS(35,6))-INDIRECT(ADDRESS(35,7)))</f>
        <v>-1</v>
      </c>
      <c r="G13" s="24">
        <f ca="1">IF(LEN(INDIRECT(ADDRESS(ROW()-1, COLUMN())))=1,"",INDIRECT(ADDRESS(18,7))-INDIRECT(ADDRESS(18,6)))</f>
        <v>-10</v>
      </c>
      <c r="H13" s="24">
        <f ca="1">IF(LEN(INDIRECT(ADDRESS(ROW()-1, COLUMN())))=1,"",INDIRECT(ADDRESS(22,6))-INDIRECT(ADDRESS(22,7)))</f>
        <v>-8</v>
      </c>
      <c r="I13" s="24">
        <f ca="1">IF(LEN(INDIRECT(ADDRESS(ROW()-1, COLUMN())))=1,"",INDIRECT(ADDRESS(27,7))-INDIRECT(ADDRESS(27,6)))</f>
        <v>6</v>
      </c>
      <c r="J13" s="25" t="s">
        <v>72</v>
      </c>
      <c r="K13" s="79"/>
      <c r="L13" s="24">
        <f ca="1">IF(COUNT(F13:J13)=0,"",SUM(F13:J13))</f>
        <v>-13</v>
      </c>
      <c r="M13" s="80"/>
    </row>
    <row r="14" spans="1:13" x14ac:dyDescent="0.25">
      <c r="M14"/>
    </row>
    <row r="15" spans="1:13" x14ac:dyDescent="0.25">
      <c r="M15"/>
    </row>
    <row r="16" spans="1:13" x14ac:dyDescent="0.25">
      <c r="M16"/>
    </row>
    <row r="17" spans="1:13" s="44" customFormat="1" ht="21.75" thickBot="1" x14ac:dyDescent="0.4">
      <c r="A17" s="43"/>
      <c r="B17" s="71" t="s">
        <v>73</v>
      </c>
      <c r="C17" s="71"/>
      <c r="D17" s="71"/>
      <c r="E17" s="71"/>
      <c r="F17" s="71"/>
      <c r="G17" s="71"/>
      <c r="H17" s="71"/>
      <c r="I17" s="71"/>
      <c r="J17" s="71"/>
      <c r="K17" s="71"/>
      <c r="M17" s="45"/>
    </row>
    <row r="18" spans="1:13" s="44" customFormat="1" ht="21.75" thickBot="1" x14ac:dyDescent="0.4">
      <c r="A18" s="43"/>
      <c r="B18" s="50">
        <v>2</v>
      </c>
      <c r="C18" s="81" t="str">
        <f ca="1">IF(ISBLANK(INDIRECT(ADDRESS(B18*2+2,3))),"",INDIRECT(ADDRESS(B18*2+2,3)))</f>
        <v>Давыдов-Трофимов</v>
      </c>
      <c r="D18" s="81"/>
      <c r="E18" s="82"/>
      <c r="F18" s="47">
        <v>13</v>
      </c>
      <c r="G18" s="48">
        <v>3</v>
      </c>
      <c r="H18" s="83" t="str">
        <f ca="1">IF(ISBLANK(INDIRECT(ADDRESS(K18*2+2,3))),"",INDIRECT(ADDRESS(K18*2+2,3)))</f>
        <v>Гусев-Папоян</v>
      </c>
      <c r="I18" s="81"/>
      <c r="J18" s="81"/>
      <c r="K18" s="50">
        <v>5</v>
      </c>
      <c r="L18" s="49" t="s">
        <v>74</v>
      </c>
      <c r="M18" s="43">
        <v>4</v>
      </c>
    </row>
    <row r="19" spans="1:13" s="44" customFormat="1" ht="21.75" thickBot="1" x14ac:dyDescent="0.4">
      <c r="A19" s="43"/>
      <c r="B19" s="50">
        <v>3</v>
      </c>
      <c r="C19" s="81" t="str">
        <f ca="1">IF(ISBLANK(INDIRECT(ADDRESS(B19*2+2,3))),"",INDIRECT(ADDRESS(B19*2+2,3)))</f>
        <v>Гоцфрид-Осокин</v>
      </c>
      <c r="D19" s="81"/>
      <c r="E19" s="82"/>
      <c r="F19" s="47">
        <v>11</v>
      </c>
      <c r="G19" s="48">
        <v>10</v>
      </c>
      <c r="H19" s="83" t="str">
        <f ca="1">IF(ISBLANK(INDIRECT(ADDRESS(K19*2+2,3))),"",INDIRECT(ADDRESS(K19*2+2,3)))</f>
        <v>Кравцов-Поляков</v>
      </c>
      <c r="I19" s="81"/>
      <c r="J19" s="81"/>
      <c r="K19" s="50">
        <v>4</v>
      </c>
      <c r="L19" s="49" t="s">
        <v>74</v>
      </c>
      <c r="M19" s="43">
        <v>6</v>
      </c>
    </row>
    <row r="20" spans="1:13" s="44" customFormat="1" ht="30" customHeight="1" x14ac:dyDescent="0.35">
      <c r="A20" s="43"/>
      <c r="M20" s="46"/>
    </row>
    <row r="21" spans="1:13" s="44" customFormat="1" ht="21.75" thickBot="1" x14ac:dyDescent="0.4">
      <c r="A21" s="43"/>
      <c r="B21" s="71" t="s">
        <v>75</v>
      </c>
      <c r="C21" s="71"/>
      <c r="D21" s="71"/>
      <c r="E21" s="71"/>
      <c r="F21" s="71"/>
      <c r="G21" s="71"/>
      <c r="H21" s="71"/>
      <c r="I21" s="71"/>
      <c r="J21" s="71"/>
      <c r="K21" s="71"/>
      <c r="M21" s="46"/>
    </row>
    <row r="22" spans="1:13" s="44" customFormat="1" ht="21.75" thickBot="1" x14ac:dyDescent="0.4">
      <c r="A22" s="43"/>
      <c r="B22" s="50">
        <v>5</v>
      </c>
      <c r="C22" s="81" t="str">
        <f ca="1">IF(ISBLANK(INDIRECT(ADDRESS(B22*2+2,3))),"",INDIRECT(ADDRESS(B22*2+2,3)))</f>
        <v>Гусев-Папоян</v>
      </c>
      <c r="D22" s="81"/>
      <c r="E22" s="82"/>
      <c r="F22" s="47">
        <v>5</v>
      </c>
      <c r="G22" s="48">
        <v>13</v>
      </c>
      <c r="H22" s="83" t="str">
        <f ca="1">IF(ISBLANK(INDIRECT(ADDRESS(K22*2+2,3))),"",INDIRECT(ADDRESS(K22*2+2,3)))</f>
        <v>Гоцфрид-Осокин</v>
      </c>
      <c r="I22" s="81"/>
      <c r="J22" s="81"/>
      <c r="K22" s="50">
        <v>3</v>
      </c>
      <c r="L22" s="49" t="s">
        <v>74</v>
      </c>
      <c r="M22" s="43">
        <v>1</v>
      </c>
    </row>
    <row r="23" spans="1:13" s="44" customFormat="1" ht="21.75" thickBot="1" x14ac:dyDescent="0.4">
      <c r="A23" s="43"/>
      <c r="B23" s="50">
        <v>1</v>
      </c>
      <c r="C23" s="81" t="str">
        <f ca="1">IF(ISBLANK(INDIRECT(ADDRESS(B23*2+2,3))),"",INDIRECT(ADDRESS(B23*2+2,3)))</f>
        <v>Дубовицкий-Хафидо</v>
      </c>
      <c r="D23" s="81"/>
      <c r="E23" s="82"/>
      <c r="F23" s="47">
        <v>12</v>
      </c>
      <c r="G23" s="48">
        <v>0</v>
      </c>
      <c r="H23" s="83" t="str">
        <f ca="1">IF(ISBLANK(INDIRECT(ADDRESS(K23*2+2,3))),"",INDIRECT(ADDRESS(K23*2+2,3)))</f>
        <v>Давыдов-Трофимов</v>
      </c>
      <c r="I23" s="81"/>
      <c r="J23" s="81"/>
      <c r="K23" s="50">
        <v>2</v>
      </c>
      <c r="L23" s="49" t="s">
        <v>74</v>
      </c>
      <c r="M23" s="43">
        <v>3</v>
      </c>
    </row>
    <row r="24" spans="1:13" s="44" customFormat="1" ht="30" customHeight="1" x14ac:dyDescent="0.35">
      <c r="A24" s="43"/>
      <c r="M24" s="46"/>
    </row>
    <row r="25" spans="1:13" s="44" customFormat="1" ht="21.75" thickBot="1" x14ac:dyDescent="0.4">
      <c r="A25" s="43"/>
      <c r="B25" s="71" t="s">
        <v>76</v>
      </c>
      <c r="C25" s="71"/>
      <c r="D25" s="71"/>
      <c r="E25" s="71"/>
      <c r="F25" s="71"/>
      <c r="G25" s="71"/>
      <c r="H25" s="71"/>
      <c r="I25" s="71"/>
      <c r="J25" s="71"/>
      <c r="K25" s="71"/>
      <c r="M25" s="46"/>
    </row>
    <row r="26" spans="1:13" s="44" customFormat="1" ht="21.75" thickBot="1" x14ac:dyDescent="0.4">
      <c r="A26" s="43"/>
      <c r="B26" s="50">
        <v>3</v>
      </c>
      <c r="C26" s="81" t="str">
        <f ca="1">IF(ISBLANK(INDIRECT(ADDRESS(B26*2+2,3))),"",INDIRECT(ADDRESS(B26*2+2,3)))</f>
        <v>Гоцфрид-Осокин</v>
      </c>
      <c r="D26" s="81"/>
      <c r="E26" s="82"/>
      <c r="F26" s="47">
        <v>12</v>
      </c>
      <c r="G26" s="48">
        <v>7</v>
      </c>
      <c r="H26" s="83" t="str">
        <f ca="1">IF(ISBLANK(INDIRECT(ADDRESS(K26*2+2,3))),"",INDIRECT(ADDRESS(K26*2+2,3)))</f>
        <v>Дубовицкий-Хафидо</v>
      </c>
      <c r="I26" s="81"/>
      <c r="J26" s="81"/>
      <c r="K26" s="50">
        <v>1</v>
      </c>
      <c r="L26" s="49" t="s">
        <v>74</v>
      </c>
      <c r="M26" s="43">
        <v>4</v>
      </c>
    </row>
    <row r="27" spans="1:13" s="44" customFormat="1" ht="21.75" thickBot="1" x14ac:dyDescent="0.4">
      <c r="A27" s="43"/>
      <c r="B27" s="50">
        <v>4</v>
      </c>
      <c r="C27" s="81" t="str">
        <f ca="1">IF(ISBLANK(INDIRECT(ADDRESS(B27*2+2,3))),"",INDIRECT(ADDRESS(B27*2+2,3)))</f>
        <v>Кравцов-Поляков</v>
      </c>
      <c r="D27" s="81"/>
      <c r="E27" s="82"/>
      <c r="F27" s="47">
        <v>5</v>
      </c>
      <c r="G27" s="48">
        <v>11</v>
      </c>
      <c r="H27" s="83" t="str">
        <f ca="1">IF(ISBLANK(INDIRECT(ADDRESS(K27*2+2,3))),"",INDIRECT(ADDRESS(K27*2+2,3)))</f>
        <v>Гусев-Папоян</v>
      </c>
      <c r="I27" s="81"/>
      <c r="J27" s="81"/>
      <c r="K27" s="50">
        <v>5</v>
      </c>
      <c r="L27" s="49" t="s">
        <v>74</v>
      </c>
      <c r="M27" s="43">
        <v>6</v>
      </c>
    </row>
    <row r="28" spans="1:13" s="44" customFormat="1" ht="30" customHeight="1" x14ac:dyDescent="0.35">
      <c r="A28" s="43"/>
      <c r="M28" s="46"/>
    </row>
    <row r="29" spans="1:13" s="44" customFormat="1" ht="21.75" thickBot="1" x14ac:dyDescent="0.4">
      <c r="A29" s="43"/>
      <c r="B29" s="71" t="s">
        <v>77</v>
      </c>
      <c r="C29" s="71"/>
      <c r="D29" s="71"/>
      <c r="E29" s="71"/>
      <c r="F29" s="71"/>
      <c r="G29" s="71"/>
      <c r="H29" s="71"/>
      <c r="I29" s="71"/>
      <c r="J29" s="71"/>
      <c r="K29" s="71"/>
      <c r="M29" s="46"/>
    </row>
    <row r="30" spans="1:13" s="44" customFormat="1" ht="21.75" thickBot="1" x14ac:dyDescent="0.4">
      <c r="A30" s="43"/>
      <c r="B30" s="50">
        <v>1</v>
      </c>
      <c r="C30" s="81" t="str">
        <f ca="1">IF(ISBLANK(INDIRECT(ADDRESS(B30*2+2,3))),"",INDIRECT(ADDRESS(B30*2+2,3)))</f>
        <v>Дубовицкий-Хафидо</v>
      </c>
      <c r="D30" s="81"/>
      <c r="E30" s="82"/>
      <c r="F30" s="47">
        <v>6</v>
      </c>
      <c r="G30" s="48">
        <v>7</v>
      </c>
      <c r="H30" s="83" t="str">
        <f ca="1">IF(ISBLANK(INDIRECT(ADDRESS(K30*2+2,3))),"",INDIRECT(ADDRESS(K30*2+2,3)))</f>
        <v>Кравцов-Поляков</v>
      </c>
      <c r="I30" s="81"/>
      <c r="J30" s="81"/>
      <c r="K30" s="50">
        <v>4</v>
      </c>
      <c r="L30" s="49" t="s">
        <v>74</v>
      </c>
      <c r="M30" s="43">
        <v>1</v>
      </c>
    </row>
    <row r="31" spans="1:13" s="44" customFormat="1" ht="21.75" thickBot="1" x14ac:dyDescent="0.4">
      <c r="A31" s="43"/>
      <c r="B31" s="50">
        <v>2</v>
      </c>
      <c r="C31" s="81" t="str">
        <f ca="1">IF(ISBLANK(INDIRECT(ADDRESS(B31*2+2,3))),"",INDIRECT(ADDRESS(B31*2+2,3)))</f>
        <v>Давыдов-Трофимов</v>
      </c>
      <c r="D31" s="81"/>
      <c r="E31" s="82"/>
      <c r="F31" s="47">
        <v>5</v>
      </c>
      <c r="G31" s="48">
        <v>9</v>
      </c>
      <c r="H31" s="83" t="str">
        <f ca="1">IF(ISBLANK(INDIRECT(ADDRESS(K31*2+2,3))),"",INDIRECT(ADDRESS(K31*2+2,3)))</f>
        <v>Гоцфрид-Осокин</v>
      </c>
      <c r="I31" s="81"/>
      <c r="J31" s="81"/>
      <c r="K31" s="50">
        <v>3</v>
      </c>
      <c r="L31" s="49" t="s">
        <v>74</v>
      </c>
      <c r="M31" s="43">
        <v>3</v>
      </c>
    </row>
    <row r="32" spans="1:13" s="44" customFormat="1" ht="30" customHeight="1" x14ac:dyDescent="0.35">
      <c r="A32" s="43"/>
      <c r="M32" s="46"/>
    </row>
    <row r="33" spans="1:13" s="44" customFormat="1" ht="21.75" thickBot="1" x14ac:dyDescent="0.4">
      <c r="A33" s="43"/>
      <c r="B33" s="71" t="s">
        <v>78</v>
      </c>
      <c r="C33" s="71"/>
      <c r="D33" s="71"/>
      <c r="E33" s="71"/>
      <c r="F33" s="71"/>
      <c r="G33" s="71"/>
      <c r="H33" s="71"/>
      <c r="I33" s="71"/>
      <c r="J33" s="71"/>
      <c r="K33" s="71"/>
      <c r="M33" s="46"/>
    </row>
    <row r="34" spans="1:13" s="44" customFormat="1" ht="21.75" thickBot="1" x14ac:dyDescent="0.4">
      <c r="A34" s="43"/>
      <c r="B34" s="50">
        <v>4</v>
      </c>
      <c r="C34" s="81" t="str">
        <f ca="1">IF(ISBLANK(INDIRECT(ADDRESS(B34*2+2,3))),"",INDIRECT(ADDRESS(B34*2+2,3)))</f>
        <v>Кравцов-Поляков</v>
      </c>
      <c r="D34" s="81"/>
      <c r="E34" s="82"/>
      <c r="F34" s="47">
        <v>7</v>
      </c>
      <c r="G34" s="48">
        <v>6</v>
      </c>
      <c r="H34" s="83" t="str">
        <f ca="1">IF(ISBLANK(INDIRECT(ADDRESS(K34*2+2,3))),"",INDIRECT(ADDRESS(K34*2+2,3)))</f>
        <v>Давыдов-Трофимов</v>
      </c>
      <c r="I34" s="81"/>
      <c r="J34" s="81"/>
      <c r="K34" s="50">
        <v>2</v>
      </c>
      <c r="L34" s="49" t="s">
        <v>74</v>
      </c>
      <c r="M34" s="43">
        <v>4</v>
      </c>
    </row>
    <row r="35" spans="1:13" s="44" customFormat="1" ht="21.75" thickBot="1" x14ac:dyDescent="0.4">
      <c r="A35" s="43"/>
      <c r="B35" s="50">
        <v>5</v>
      </c>
      <c r="C35" s="81" t="str">
        <f ca="1">IF(ISBLANK(INDIRECT(ADDRESS(B35*2+2,3))),"",INDIRECT(ADDRESS(B35*2+2,3)))</f>
        <v>Гусев-Папоян</v>
      </c>
      <c r="D35" s="81"/>
      <c r="E35" s="82"/>
      <c r="F35" s="47">
        <v>9</v>
      </c>
      <c r="G35" s="48">
        <v>10</v>
      </c>
      <c r="H35" s="83" t="str">
        <f ca="1">IF(ISBLANK(INDIRECT(ADDRESS(K35*2+2,3))),"",INDIRECT(ADDRESS(K35*2+2,3)))</f>
        <v>Дубовицкий-Хафидо</v>
      </c>
      <c r="I35" s="81"/>
      <c r="J35" s="81"/>
      <c r="K35" s="50">
        <v>1</v>
      </c>
      <c r="L35" s="49" t="s">
        <v>74</v>
      </c>
      <c r="M35" s="43">
        <v>6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>
      <selection activeCell="N18" sqref="N18:O18"/>
    </sheetView>
  </sheetViews>
  <sheetFormatPr defaultRowHeight="15" x14ac:dyDescent="0.25"/>
  <cols>
    <col min="1" max="1" width="4.5703125" style="4" customWidth="1"/>
    <col min="2" max="15" width="9.140625" style="28" customWidth="1"/>
    <col min="16" max="16384" width="9.140625" style="28"/>
  </cols>
  <sheetData>
    <row r="1" spans="1:13" ht="46.5" x14ac:dyDescent="0.25">
      <c r="B1" s="53" t="s">
        <v>83</v>
      </c>
      <c r="C1" s="53"/>
      <c r="D1" s="53"/>
      <c r="E1" s="53"/>
      <c r="F1" s="53"/>
      <c r="G1" s="53"/>
      <c r="H1" s="53"/>
      <c r="I1" s="53"/>
      <c r="J1" s="53"/>
      <c r="K1" s="53"/>
    </row>
    <row r="2" spans="1:13" ht="15" customHeight="1" x14ac:dyDescent="0.25">
      <c r="C2" s="29"/>
    </row>
    <row r="3" spans="1:13" ht="15" customHeight="1" x14ac:dyDescent="0.25">
      <c r="C3" s="29"/>
    </row>
    <row r="4" spans="1:13" ht="18.75" x14ac:dyDescent="0.25">
      <c r="A4" s="4" t="s">
        <v>87</v>
      </c>
      <c r="B4" s="96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Глеклер-Царегородцев</v>
      </c>
      <c r="C4" s="97"/>
      <c r="D4" s="30">
        <v>10</v>
      </c>
      <c r="E4" s="31"/>
    </row>
    <row r="5" spans="1:13" ht="15" customHeight="1" x14ac:dyDescent="0.25">
      <c r="A5" s="4">
        <v>1</v>
      </c>
      <c r="C5" s="29"/>
      <c r="E5" s="32"/>
    </row>
    <row r="6" spans="1:13" ht="21" x14ac:dyDescent="0.25">
      <c r="B6" s="27" t="s">
        <v>74</v>
      </c>
      <c r="C6" s="43">
        <v>1</v>
      </c>
      <c r="E6" s="33"/>
      <c r="F6" s="98" t="str">
        <f ca="1">IF(ISBLANK(D4),"",IF(D4&gt;D8,B4,B8))</f>
        <v>Кравцов-Поляков</v>
      </c>
      <c r="G6" s="97"/>
      <c r="H6" s="30">
        <v>11</v>
      </c>
      <c r="I6" s="31"/>
    </row>
    <row r="7" spans="1:13" ht="15" customHeight="1" x14ac:dyDescent="0.25">
      <c r="C7" s="29"/>
      <c r="E7" s="33"/>
      <c r="I7" s="32"/>
    </row>
    <row r="8" spans="1:13" ht="18.75" x14ac:dyDescent="0.25">
      <c r="A8" s="4" t="s">
        <v>90</v>
      </c>
      <c r="B8" s="96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Кравцов-Поляков</v>
      </c>
      <c r="C8" s="97"/>
      <c r="D8" s="30">
        <v>11</v>
      </c>
      <c r="E8" s="34"/>
      <c r="I8" s="33"/>
    </row>
    <row r="9" spans="1:13" ht="15" customHeight="1" x14ac:dyDescent="0.25">
      <c r="A9" s="4">
        <v>2</v>
      </c>
      <c r="C9" s="29"/>
      <c r="I9" s="33"/>
    </row>
    <row r="10" spans="1:13" ht="21" x14ac:dyDescent="0.25">
      <c r="C10" s="29"/>
      <c r="F10" s="27" t="s">
        <v>74</v>
      </c>
      <c r="G10" s="43">
        <v>1</v>
      </c>
      <c r="H10" s="29"/>
      <c r="I10" s="33"/>
      <c r="J10" s="98" t="str">
        <f ca="1">IF(ISBLANK(H6),"",IF(H6&gt;H14,F6,F14))</f>
        <v>Волков-Гулинин</v>
      </c>
      <c r="K10" s="96"/>
      <c r="L10" s="30">
        <v>10</v>
      </c>
      <c r="M10" s="31"/>
    </row>
    <row r="11" spans="1:13" ht="15" customHeight="1" x14ac:dyDescent="0.25">
      <c r="C11" s="29"/>
      <c r="I11" s="33"/>
      <c r="M11" s="32"/>
    </row>
    <row r="12" spans="1:13" ht="18.75" x14ac:dyDescent="0.25">
      <c r="A12" s="4" t="s">
        <v>88</v>
      </c>
      <c r="B12" s="96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Бейгер-Каргашин</v>
      </c>
      <c r="C12" s="97"/>
      <c r="D12" s="30">
        <v>2</v>
      </c>
      <c r="E12" s="31"/>
      <c r="I12" s="33"/>
      <c r="M12" s="33"/>
    </row>
    <row r="13" spans="1:13" ht="15" customHeight="1" x14ac:dyDescent="0.25">
      <c r="A13" s="4">
        <v>2</v>
      </c>
      <c r="C13" s="29"/>
      <c r="E13" s="32"/>
      <c r="I13" s="33"/>
      <c r="M13" s="33"/>
    </row>
    <row r="14" spans="1:13" ht="21" x14ac:dyDescent="0.25">
      <c r="B14" s="27" t="s">
        <v>74</v>
      </c>
      <c r="C14" s="43">
        <v>3</v>
      </c>
      <c r="E14" s="33"/>
      <c r="F14" s="98" t="str">
        <f ca="1">IF(ISBLANK(D12),"",IF(D12&gt;D16,B12,B16))</f>
        <v>Волков-Гулинин</v>
      </c>
      <c r="G14" s="97"/>
      <c r="H14" s="30">
        <v>13</v>
      </c>
      <c r="I14" s="34"/>
      <c r="M14" s="33"/>
    </row>
    <row r="15" spans="1:13" ht="15" customHeight="1" x14ac:dyDescent="0.25">
      <c r="E15" s="33"/>
      <c r="M15" s="33"/>
    </row>
    <row r="16" spans="1:13" ht="18.75" x14ac:dyDescent="0.25">
      <c r="A16" s="4" t="s">
        <v>89</v>
      </c>
      <c r="B16" s="96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Волков-Гулинин</v>
      </c>
      <c r="C16" s="97"/>
      <c r="D16" s="30">
        <v>13</v>
      </c>
      <c r="E16" s="34"/>
      <c r="M16" s="33"/>
    </row>
    <row r="17" spans="1:15" ht="15" customHeight="1" x14ac:dyDescent="0.25">
      <c r="A17" s="4">
        <v>1</v>
      </c>
      <c r="M17" s="33"/>
    </row>
    <row r="18" spans="1:15" ht="21" x14ac:dyDescent="0.25">
      <c r="B18" s="27"/>
      <c r="J18" s="27" t="s">
        <v>74</v>
      </c>
      <c r="K18" s="43">
        <v>3</v>
      </c>
      <c r="L18" s="29"/>
      <c r="M18" s="33"/>
      <c r="N18" s="100" t="str">
        <f ca="1">IF(ISBLANK(L10),"",IF(L10&gt;L26,J10,J26))</f>
        <v>Лямунов-Шундрин</v>
      </c>
      <c r="O18" s="101"/>
    </row>
    <row r="19" spans="1:15" ht="15" customHeight="1" x14ac:dyDescent="0.25">
      <c r="M19" s="33"/>
    </row>
    <row r="20" spans="1:15" ht="18.75" x14ac:dyDescent="0.25">
      <c r="A20" s="4" t="s">
        <v>87</v>
      </c>
      <c r="B20" s="96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Лямунов-Шундрин</v>
      </c>
      <c r="C20" s="97"/>
      <c r="D20" s="30">
        <v>13</v>
      </c>
      <c r="E20" s="31"/>
      <c r="M20" s="33"/>
    </row>
    <row r="21" spans="1:15" ht="15" customHeight="1" x14ac:dyDescent="0.25">
      <c r="A21" s="4">
        <v>2</v>
      </c>
      <c r="E21" s="32"/>
      <c r="M21" s="33"/>
    </row>
    <row r="22" spans="1:15" ht="21" x14ac:dyDescent="0.25">
      <c r="B22" s="27" t="s">
        <v>74</v>
      </c>
      <c r="C22" s="43">
        <v>4</v>
      </c>
      <c r="E22" s="33"/>
      <c r="F22" s="98" t="str">
        <f ca="1">IF(ISBLANK(D20),"",IF(D20&gt;D24,B20,B24))</f>
        <v>Лямунов-Шундрин</v>
      </c>
      <c r="G22" s="97"/>
      <c r="H22" s="30">
        <v>13</v>
      </c>
      <c r="I22" s="31"/>
      <c r="M22" s="33"/>
    </row>
    <row r="23" spans="1:15" ht="15" customHeight="1" x14ac:dyDescent="0.25">
      <c r="E23" s="33"/>
      <c r="I23" s="32"/>
      <c r="M23" s="33"/>
    </row>
    <row r="24" spans="1:15" ht="18.75" x14ac:dyDescent="0.25">
      <c r="A24" s="4" t="s">
        <v>90</v>
      </c>
      <c r="B24" s="96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Гоцфрид-Осокин</v>
      </c>
      <c r="C24" s="97"/>
      <c r="D24" s="30">
        <v>7</v>
      </c>
      <c r="E24" s="34"/>
      <c r="I24" s="33"/>
      <c r="M24" s="33"/>
    </row>
    <row r="25" spans="1:15" ht="15" customHeight="1" x14ac:dyDescent="0.25">
      <c r="A25" s="4">
        <v>1</v>
      </c>
      <c r="I25" s="33"/>
      <c r="M25" s="33"/>
    </row>
    <row r="26" spans="1:15" ht="21" x14ac:dyDescent="0.25">
      <c r="F26" s="27" t="s">
        <v>74</v>
      </c>
      <c r="G26" s="43">
        <v>3</v>
      </c>
      <c r="H26" s="29"/>
      <c r="I26" s="33"/>
      <c r="J26" s="98" t="str">
        <f ca="1">IF(ISBLANK(H22),"",IF(H22&gt;H30,F22,F30))</f>
        <v>Лямунов-Шундрин</v>
      </c>
      <c r="K26" s="97"/>
      <c r="L26" s="30">
        <v>13</v>
      </c>
      <c r="M26" s="34"/>
    </row>
    <row r="27" spans="1:15" ht="15" customHeight="1" x14ac:dyDescent="0.25">
      <c r="I27" s="33"/>
    </row>
    <row r="28" spans="1:15" ht="18.75" x14ac:dyDescent="0.25">
      <c r="A28" s="4" t="s">
        <v>88</v>
      </c>
      <c r="B28" s="96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Догадин-Петрушко</v>
      </c>
      <c r="C28" s="97"/>
      <c r="D28" s="30">
        <v>7</v>
      </c>
      <c r="E28" s="31"/>
      <c r="I28" s="33"/>
    </row>
    <row r="29" spans="1:15" ht="15" customHeight="1" x14ac:dyDescent="0.25">
      <c r="A29" s="4">
        <v>1</v>
      </c>
      <c r="E29" s="32"/>
      <c r="I29" s="33"/>
    </row>
    <row r="30" spans="1:15" ht="21" x14ac:dyDescent="0.25">
      <c r="B30" s="27" t="s">
        <v>74</v>
      </c>
      <c r="C30" s="43">
        <v>6</v>
      </c>
      <c r="E30" s="33"/>
      <c r="F30" s="98" t="str">
        <f ca="1">IF(ISBLANK(D28),"",IF(D28&gt;D32,B28,B32))</f>
        <v>Догадин-Петрушко</v>
      </c>
      <c r="G30" s="97"/>
      <c r="H30" s="30">
        <v>11</v>
      </c>
      <c r="I30" s="34"/>
    </row>
    <row r="31" spans="1:15" ht="15" customHeight="1" x14ac:dyDescent="0.25">
      <c r="E31" s="33"/>
    </row>
    <row r="32" spans="1:15" ht="18.75" x14ac:dyDescent="0.25">
      <c r="A32" s="4" t="s">
        <v>89</v>
      </c>
      <c r="B32" s="96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Гаджиев-Денисов</v>
      </c>
      <c r="C32" s="97"/>
      <c r="D32" s="30">
        <v>6</v>
      </c>
      <c r="E32" s="34"/>
    </row>
    <row r="33" spans="1:7" x14ac:dyDescent="0.25">
      <c r="A33" s="4">
        <v>2</v>
      </c>
    </row>
    <row r="36" spans="1:7" ht="18.75" x14ac:dyDescent="0.25">
      <c r="B36" s="96" t="str">
        <f ca="1">IF(ISBLANK(H6),"",IF(H6&gt;H14,F14,F6))</f>
        <v>Кравцов-Поляков</v>
      </c>
      <c r="C36" s="97"/>
      <c r="D36" s="30">
        <v>9</v>
      </c>
      <c r="E36" s="31"/>
      <c r="F36" s="99"/>
      <c r="G36" s="99"/>
    </row>
    <row r="37" spans="1:7" ht="15" customHeight="1" x14ac:dyDescent="0.25">
      <c r="E37" s="32"/>
    </row>
    <row r="38" spans="1:7" ht="21" x14ac:dyDescent="0.25">
      <c r="B38" s="27" t="s">
        <v>74</v>
      </c>
      <c r="C38" s="43">
        <v>1</v>
      </c>
      <c r="E38" s="33"/>
      <c r="F38" s="98" t="str">
        <f ca="1">IF(ISBLANK(D36),"",IF(D36&gt;D40,B36,B40))</f>
        <v>Догадин-Петрушко</v>
      </c>
      <c r="G38" s="96"/>
    </row>
    <row r="39" spans="1:7" ht="15" customHeight="1" x14ac:dyDescent="0.25">
      <c r="E39" s="33"/>
    </row>
    <row r="40" spans="1:7" ht="18.75" x14ac:dyDescent="0.25">
      <c r="B40" s="96" t="str">
        <f ca="1">IF(ISBLANK(H22),"",IF(H22&gt;H30,F30,F22))</f>
        <v>Догадин-Петрушко</v>
      </c>
      <c r="C40" s="97"/>
      <c r="D40" s="30">
        <v>13</v>
      </c>
      <c r="E40" s="34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25" right="0.25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0" workbookViewId="0">
      <selection activeCell="R24" sqref="R24"/>
    </sheetView>
  </sheetViews>
  <sheetFormatPr defaultRowHeight="15" x14ac:dyDescent="0.25"/>
  <cols>
    <col min="1" max="1" width="4.5703125" style="4" customWidth="1"/>
    <col min="2" max="15" width="9.140625" style="28" customWidth="1"/>
    <col min="16" max="16384" width="9.140625" style="28"/>
  </cols>
  <sheetData>
    <row r="1" spans="1:13" ht="46.5" x14ac:dyDescent="0.25">
      <c r="B1" s="53" t="s">
        <v>84</v>
      </c>
      <c r="C1" s="53"/>
      <c r="D1" s="53"/>
      <c r="E1" s="53"/>
      <c r="F1" s="53"/>
      <c r="G1" s="53"/>
      <c r="H1" s="53"/>
      <c r="I1" s="53"/>
      <c r="J1" s="53"/>
      <c r="K1" s="53"/>
    </row>
    <row r="2" spans="1:13" ht="15" customHeight="1" x14ac:dyDescent="0.25">
      <c r="C2" s="29"/>
    </row>
    <row r="3" spans="1:13" ht="15" customHeight="1" x14ac:dyDescent="0.25">
      <c r="C3" s="29"/>
    </row>
    <row r="4" spans="1:13" ht="18.75" x14ac:dyDescent="0.25">
      <c r="A4" s="4" t="s">
        <v>87</v>
      </c>
      <c r="B4" s="96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Вахрушев-Трутнев</v>
      </c>
      <c r="C4" s="97"/>
      <c r="D4" s="30">
        <v>13</v>
      </c>
      <c r="E4" s="31"/>
    </row>
    <row r="5" spans="1:13" ht="15" customHeight="1" x14ac:dyDescent="0.25">
      <c r="A5" s="4">
        <v>3</v>
      </c>
      <c r="C5" s="29"/>
      <c r="E5" s="32"/>
    </row>
    <row r="6" spans="1:13" ht="21" x14ac:dyDescent="0.25">
      <c r="B6" s="27" t="s">
        <v>74</v>
      </c>
      <c r="C6" s="43">
        <v>1</v>
      </c>
      <c r="E6" s="33"/>
      <c r="F6" s="98" t="str">
        <f ca="1">IF(ISBLANK(D4),"",IF(D4&gt;D8,B4,B8))</f>
        <v>Вахрушев-Трутнев</v>
      </c>
      <c r="G6" s="97"/>
      <c r="H6" s="30">
        <v>13</v>
      </c>
      <c r="I6" s="31"/>
    </row>
    <row r="7" spans="1:13" ht="15" customHeight="1" x14ac:dyDescent="0.25">
      <c r="C7" s="29"/>
      <c r="E7" s="33"/>
      <c r="I7" s="32"/>
    </row>
    <row r="8" spans="1:13" ht="18.75" x14ac:dyDescent="0.25">
      <c r="A8" s="4" t="s">
        <v>90</v>
      </c>
      <c r="B8" s="96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Давыдов-Трофимов</v>
      </c>
      <c r="C8" s="97"/>
      <c r="D8" s="30">
        <v>4</v>
      </c>
      <c r="E8" s="34"/>
      <c r="I8" s="33"/>
    </row>
    <row r="9" spans="1:13" ht="15" customHeight="1" x14ac:dyDescent="0.25">
      <c r="A9" s="4">
        <v>4</v>
      </c>
      <c r="C9" s="29"/>
      <c r="I9" s="33"/>
    </row>
    <row r="10" spans="1:13" ht="21" x14ac:dyDescent="0.25">
      <c r="C10" s="29"/>
      <c r="F10" s="27" t="s">
        <v>74</v>
      </c>
      <c r="G10" s="43">
        <v>4</v>
      </c>
      <c r="H10" s="29"/>
      <c r="I10" s="33"/>
      <c r="J10" s="98" t="str">
        <f ca="1">IF(ISBLANK(H6),"",IF(H6&gt;H14,F6,F14))</f>
        <v>Вахрушев-Трутнев</v>
      </c>
      <c r="K10" s="96"/>
      <c r="L10" s="30">
        <v>13</v>
      </c>
      <c r="M10" s="31"/>
    </row>
    <row r="11" spans="1:13" ht="15" customHeight="1" x14ac:dyDescent="0.25">
      <c r="C11" s="29"/>
      <c r="I11" s="33"/>
      <c r="M11" s="32"/>
    </row>
    <row r="12" spans="1:13" ht="18.75" x14ac:dyDescent="0.25">
      <c r="A12" s="4" t="s">
        <v>88</v>
      </c>
      <c r="B12" s="96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Земцов-Шапкин</v>
      </c>
      <c r="C12" s="97"/>
      <c r="D12" s="30">
        <v>9</v>
      </c>
      <c r="E12" s="31"/>
      <c r="I12" s="33"/>
      <c r="M12" s="33"/>
    </row>
    <row r="13" spans="1:13" ht="15" customHeight="1" x14ac:dyDescent="0.25">
      <c r="A13" s="4">
        <v>4</v>
      </c>
      <c r="C13" s="29"/>
      <c r="E13" s="32"/>
      <c r="I13" s="33"/>
      <c r="M13" s="33"/>
    </row>
    <row r="14" spans="1:13" ht="21" x14ac:dyDescent="0.25">
      <c r="B14" s="27" t="s">
        <v>74</v>
      </c>
      <c r="C14" s="43">
        <v>3</v>
      </c>
      <c r="E14" s="33"/>
      <c r="F14" s="98" t="str">
        <f ca="1">IF(ISBLANK(D12),"",IF(D12&gt;D16,B12,B16))</f>
        <v>Земцов-Шапкин</v>
      </c>
      <c r="G14" s="97"/>
      <c r="H14" s="30">
        <v>4</v>
      </c>
      <c r="I14" s="34"/>
      <c r="M14" s="33"/>
    </row>
    <row r="15" spans="1:13" ht="15" customHeight="1" x14ac:dyDescent="0.25">
      <c r="E15" s="33"/>
      <c r="M15" s="33"/>
    </row>
    <row r="16" spans="1:13" ht="18.75" x14ac:dyDescent="0.25">
      <c r="A16" s="4" t="s">
        <v>89</v>
      </c>
      <c r="B16" s="96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Большаков-Зимин</v>
      </c>
      <c r="C16" s="97"/>
      <c r="D16" s="30">
        <v>5</v>
      </c>
      <c r="E16" s="34"/>
      <c r="M16" s="33"/>
    </row>
    <row r="17" spans="1:15" ht="15" customHeight="1" x14ac:dyDescent="0.25">
      <c r="A17" s="4">
        <v>3</v>
      </c>
      <c r="M17" s="33"/>
    </row>
    <row r="18" spans="1:15" ht="21" x14ac:dyDescent="0.25">
      <c r="B18" s="27"/>
      <c r="J18" s="27" t="s">
        <v>74</v>
      </c>
      <c r="K18" s="43">
        <v>4</v>
      </c>
      <c r="L18" s="29"/>
      <c r="M18" s="33"/>
      <c r="N18" s="98" t="str">
        <f ca="1">IF(ISBLANK(L10),"",IF(L10&gt;L26,J10,J26))</f>
        <v>Вахрушев-Трутнев</v>
      </c>
      <c r="O18" s="96"/>
    </row>
    <row r="19" spans="1:15" ht="15" customHeight="1" x14ac:dyDescent="0.25">
      <c r="M19" s="33"/>
    </row>
    <row r="20" spans="1:15" ht="18.75" x14ac:dyDescent="0.25">
      <c r="A20" s="4" t="s">
        <v>87</v>
      </c>
      <c r="B20" s="96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Воронов-Тихонов</v>
      </c>
      <c r="C20" s="97"/>
      <c r="D20" s="30">
        <v>11</v>
      </c>
      <c r="E20" s="31"/>
      <c r="M20" s="33"/>
    </row>
    <row r="21" spans="1:15" ht="15" customHeight="1" x14ac:dyDescent="0.25">
      <c r="A21" s="4">
        <v>4</v>
      </c>
      <c r="E21" s="32"/>
      <c r="M21" s="33"/>
    </row>
    <row r="22" spans="1:15" ht="21" x14ac:dyDescent="0.25">
      <c r="B22" s="27" t="s">
        <v>74</v>
      </c>
      <c r="C22" s="43">
        <v>4</v>
      </c>
      <c r="E22" s="33"/>
      <c r="F22" s="98" t="str">
        <f ca="1">IF(ISBLANK(D20),"",IF(D20&gt;D24,B20,B24))</f>
        <v>Воронов-Тихонов</v>
      </c>
      <c r="G22" s="97"/>
      <c r="H22" s="30">
        <v>13</v>
      </c>
      <c r="I22" s="31"/>
      <c r="M22" s="33"/>
    </row>
    <row r="23" spans="1:15" ht="15" customHeight="1" x14ac:dyDescent="0.25">
      <c r="E23" s="33"/>
      <c r="I23" s="32"/>
      <c r="M23" s="33"/>
    </row>
    <row r="24" spans="1:15" ht="18.75" x14ac:dyDescent="0.25">
      <c r="A24" s="4" t="s">
        <v>90</v>
      </c>
      <c r="B24" s="96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Дубовицкий-Хафидо</v>
      </c>
      <c r="C24" s="97"/>
      <c r="D24" s="30">
        <v>7</v>
      </c>
      <c r="E24" s="34"/>
      <c r="I24" s="33"/>
      <c r="M24" s="33"/>
    </row>
    <row r="25" spans="1:15" ht="15" customHeight="1" x14ac:dyDescent="0.25">
      <c r="A25" s="4">
        <v>3</v>
      </c>
      <c r="I25" s="33"/>
      <c r="M25" s="33"/>
    </row>
    <row r="26" spans="1:15" ht="21" x14ac:dyDescent="0.25">
      <c r="F26" s="27" t="s">
        <v>74</v>
      </c>
      <c r="G26" s="43">
        <v>6</v>
      </c>
      <c r="H26" s="29"/>
      <c r="I26" s="33"/>
      <c r="J26" s="98" t="str">
        <f ca="1">IF(ISBLANK(H22),"",IF(H22&gt;H30,F22,F30))</f>
        <v>Воронов-Тихонов</v>
      </c>
      <c r="K26" s="97"/>
      <c r="L26" s="30">
        <v>3</v>
      </c>
      <c r="M26" s="34"/>
    </row>
    <row r="27" spans="1:15" ht="15" customHeight="1" x14ac:dyDescent="0.25">
      <c r="I27" s="33"/>
    </row>
    <row r="28" spans="1:15" ht="18.75" x14ac:dyDescent="0.25">
      <c r="A28" s="4" t="s">
        <v>88</v>
      </c>
      <c r="B28" s="96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Агапов-Лютиков</v>
      </c>
      <c r="C28" s="97"/>
      <c r="D28" s="30">
        <v>11</v>
      </c>
      <c r="E28" s="31"/>
      <c r="I28" s="33"/>
    </row>
    <row r="29" spans="1:15" ht="15" customHeight="1" x14ac:dyDescent="0.25">
      <c r="A29" s="4">
        <v>3</v>
      </c>
      <c r="E29" s="32"/>
      <c r="I29" s="33"/>
    </row>
    <row r="30" spans="1:15" ht="21" x14ac:dyDescent="0.25">
      <c r="B30" s="27" t="s">
        <v>74</v>
      </c>
      <c r="C30" s="43">
        <v>6</v>
      </c>
      <c r="E30" s="33"/>
      <c r="F30" s="98" t="str">
        <f ca="1">IF(ISBLANK(D28),"",IF(D28&gt;D32,B28,B32))</f>
        <v>Агапов-Лютиков</v>
      </c>
      <c r="G30" s="97"/>
      <c r="H30" s="30">
        <v>7</v>
      </c>
      <c r="I30" s="34"/>
    </row>
    <row r="31" spans="1:15" ht="15" customHeight="1" x14ac:dyDescent="0.25">
      <c r="E31" s="33"/>
    </row>
    <row r="32" spans="1:15" ht="18.75" x14ac:dyDescent="0.25">
      <c r="A32" s="4" t="s">
        <v>89</v>
      </c>
      <c r="B32" s="96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Новиков-Тарасов</v>
      </c>
      <c r="C32" s="97"/>
      <c r="D32" s="30">
        <v>10</v>
      </c>
      <c r="E32" s="34"/>
    </row>
    <row r="33" spans="1:7" x14ac:dyDescent="0.25">
      <c r="A33" s="4">
        <v>4</v>
      </c>
    </row>
    <row r="36" spans="1:7" ht="18.75" x14ac:dyDescent="0.25">
      <c r="B36" s="96" t="str">
        <f ca="1">IF(ISBLANK(H6),"",IF(H6&gt;H14,F14,F6))</f>
        <v>Земцов-Шапкин</v>
      </c>
      <c r="C36" s="97"/>
      <c r="D36" s="30">
        <v>13</v>
      </c>
      <c r="E36" s="31"/>
      <c r="F36" s="99"/>
      <c r="G36" s="99"/>
    </row>
    <row r="37" spans="1:7" ht="15" customHeight="1" x14ac:dyDescent="0.25">
      <c r="E37" s="32"/>
    </row>
    <row r="38" spans="1:7" ht="21" x14ac:dyDescent="0.25">
      <c r="B38" s="27" t="s">
        <v>74</v>
      </c>
      <c r="C38" s="43">
        <v>6</v>
      </c>
      <c r="E38" s="33"/>
      <c r="F38" s="98" t="str">
        <f ca="1">IF(ISBLANK(D36),"",IF(D36&gt;D40,B36,B40))</f>
        <v>Земцов-Шапкин</v>
      </c>
      <c r="G38" s="96"/>
    </row>
    <row r="39" spans="1:7" ht="15" customHeight="1" x14ac:dyDescent="0.25">
      <c r="E39" s="33"/>
    </row>
    <row r="40" spans="1:7" ht="18.75" x14ac:dyDescent="0.25">
      <c r="B40" s="96" t="str">
        <f ca="1">IF(ISBLANK(H22),"",IF(H22&gt;H30,F30,F22))</f>
        <v>Агапов-Лютиков</v>
      </c>
      <c r="C40" s="97"/>
      <c r="D40" s="30">
        <v>7</v>
      </c>
      <c r="E40" s="34"/>
      <c r="F40" s="28" t="s">
        <v>93</v>
      </c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X</vt:lpstr>
      <vt:lpstr>A</vt:lpstr>
      <vt:lpstr>B</vt:lpstr>
      <vt:lpstr>C</vt:lpstr>
      <vt:lpstr>D</vt:lpstr>
      <vt:lpstr>Кубок А</vt:lpstr>
      <vt:lpstr>Кубок В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</dc:creator>
  <cp:lastModifiedBy>User</cp:lastModifiedBy>
  <cp:lastPrinted>2025-04-20T13:13:00Z</cp:lastPrinted>
  <dcterms:created xsi:type="dcterms:W3CDTF">2025-04-15T07:56:20Z</dcterms:created>
  <dcterms:modified xsi:type="dcterms:W3CDTF">2025-04-20T16:04:40Z</dcterms:modified>
</cp:coreProperties>
</file>