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ash\Петанк\2025\Край\250316 кубок края М\"/>
    </mc:Choice>
  </mc:AlternateContent>
  <bookViews>
    <workbookView xWindow="0" yWindow="0" windowWidth="20490" windowHeight="7095" activeTab="6"/>
  </bookViews>
  <sheets>
    <sheet name="Судьи" sheetId="6" r:id="rId1"/>
    <sheet name="Заявка" sheetId="2" r:id="rId2"/>
    <sheet name="Группа A" sheetId="9" r:id="rId3"/>
    <sheet name="Группа B" sheetId="13" r:id="rId4"/>
    <sheet name="Playoff  A B" sheetId="10" r:id="rId5"/>
    <sheet name="Итог" sheetId="1" r:id="rId6"/>
    <sheet name="Рейтинг" sheetId="4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  <c r="E23" i="4"/>
  <c r="E24" i="4"/>
  <c r="E25" i="4"/>
  <c r="E26" i="4"/>
  <c r="E27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6" i="4"/>
  <c r="H4" i="9"/>
  <c r="I4" i="9"/>
  <c r="H6" i="9"/>
  <c r="F10" i="13"/>
  <c r="I6" i="13"/>
  <c r="C36" i="13"/>
  <c r="F14" i="13"/>
  <c r="H34" i="9"/>
  <c r="H26" i="13"/>
  <c r="H37" i="13"/>
  <c r="H18" i="9"/>
  <c r="C20" i="13"/>
  <c r="C22" i="9"/>
  <c r="G4" i="9"/>
  <c r="J10" i="9"/>
  <c r="H6" i="13"/>
  <c r="C31" i="13"/>
  <c r="C41" i="13"/>
  <c r="H31" i="13"/>
  <c r="I8" i="9"/>
  <c r="C25" i="13"/>
  <c r="I12" i="13"/>
  <c r="H19" i="9"/>
  <c r="H30" i="9"/>
  <c r="C35" i="13"/>
  <c r="J4" i="13"/>
  <c r="I12" i="9"/>
  <c r="K4" i="13"/>
  <c r="H25" i="13"/>
  <c r="H30" i="13"/>
  <c r="F12" i="13"/>
  <c r="H20" i="13"/>
  <c r="H26" i="9"/>
  <c r="I9" i="9"/>
  <c r="C35" i="9"/>
  <c r="C26" i="9"/>
  <c r="C30" i="9"/>
  <c r="H32" i="13"/>
  <c r="H27" i="13"/>
  <c r="H42" i="13"/>
  <c r="C26" i="13"/>
  <c r="C19" i="9"/>
  <c r="I8" i="13"/>
  <c r="F8" i="13"/>
  <c r="H12" i="9"/>
  <c r="J10" i="13"/>
  <c r="H40" i="13"/>
  <c r="H22" i="9"/>
  <c r="J8" i="9"/>
  <c r="H23" i="9"/>
  <c r="C32" i="13"/>
  <c r="G4" i="13"/>
  <c r="F6" i="13"/>
  <c r="G14" i="13"/>
  <c r="C18" i="9"/>
  <c r="C27" i="13"/>
  <c r="H12" i="13"/>
  <c r="G8" i="9"/>
  <c r="J6" i="13"/>
  <c r="I4" i="13"/>
  <c r="H10" i="9"/>
  <c r="H41" i="13"/>
  <c r="C21" i="13"/>
  <c r="F8" i="9"/>
  <c r="G12" i="13"/>
  <c r="C37" i="13"/>
  <c r="H21" i="13"/>
  <c r="F12" i="9"/>
  <c r="F13" i="9"/>
  <c r="G12" i="9"/>
  <c r="G13" i="9" s="1"/>
  <c r="K6" i="13"/>
  <c r="K7" i="13" s="1"/>
  <c r="C30" i="13"/>
  <c r="C22" i="13"/>
  <c r="H4" i="13"/>
  <c r="C27" i="9"/>
  <c r="I13" i="9"/>
  <c r="K12" i="13"/>
  <c r="I6" i="9"/>
  <c r="C23" i="9"/>
  <c r="H22" i="13"/>
  <c r="F6" i="9"/>
  <c r="F10" i="9"/>
  <c r="F11" i="9" s="1"/>
  <c r="H31" i="9"/>
  <c r="C40" i="13"/>
  <c r="K8" i="13"/>
  <c r="H35" i="13"/>
  <c r="G8" i="13"/>
  <c r="C31" i="9"/>
  <c r="C42" i="13"/>
  <c r="H14" i="13"/>
  <c r="J6" i="9"/>
  <c r="H27" i="9"/>
  <c r="I14" i="13"/>
  <c r="J8" i="13"/>
  <c r="H11" i="9"/>
  <c r="G10" i="13"/>
  <c r="G10" i="9"/>
  <c r="K10" i="13"/>
  <c r="J4" i="9"/>
  <c r="C34" i="9"/>
  <c r="J14" i="13"/>
  <c r="H35" i="9"/>
  <c r="H36" i="13"/>
  <c r="H10" i="13"/>
  <c r="G26" i="4" l="1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7" i="4"/>
  <c r="F7" i="9"/>
  <c r="H7" i="9"/>
  <c r="I9" i="13"/>
  <c r="F7" i="13"/>
  <c r="H5" i="9"/>
  <c r="K13" i="13"/>
  <c r="J7" i="13"/>
  <c r="F9" i="13"/>
  <c r="J11" i="13"/>
  <c r="K5" i="13"/>
  <c r="H15" i="13"/>
  <c r="I15" i="13"/>
  <c r="H13" i="9"/>
  <c r="F13" i="13"/>
  <c r="H13" i="13"/>
  <c r="I7" i="9"/>
  <c r="J9" i="9"/>
  <c r="J9" i="13"/>
  <c r="I7" i="13"/>
  <c r="G11" i="9"/>
  <c r="G5" i="13"/>
  <c r="J5" i="9"/>
  <c r="J7" i="9"/>
  <c r="I5" i="9"/>
  <c r="H11" i="13"/>
  <c r="G9" i="9"/>
  <c r="I13" i="13"/>
  <c r="F9" i="9"/>
  <c r="F11" i="13"/>
  <c r="I5" i="13"/>
  <c r="J15" i="13"/>
  <c r="G13" i="13"/>
  <c r="G5" i="9"/>
  <c r="G11" i="13"/>
  <c r="K9" i="13"/>
  <c r="K11" i="13"/>
  <c r="J11" i="9"/>
  <c r="G9" i="13"/>
  <c r="H5" i="13"/>
  <c r="F15" i="13"/>
  <c r="H7" i="13"/>
  <c r="J5" i="13"/>
  <c r="G15" i="13"/>
  <c r="L13" i="9" l="1"/>
  <c r="K12" i="9"/>
  <c r="K10" i="9"/>
  <c r="L11" i="9"/>
  <c r="K6" i="9"/>
  <c r="L7" i="9"/>
  <c r="K4" i="9"/>
  <c r="L5" i="9"/>
  <c r="L9" i="9"/>
  <c r="K8" i="9"/>
  <c r="L12" i="13"/>
  <c r="M13" i="13"/>
  <c r="M9" i="13"/>
  <c r="L8" i="13"/>
  <c r="L4" i="13"/>
  <c r="M5" i="13"/>
  <c r="L10" i="13"/>
  <c r="M11" i="13"/>
  <c r="M7" i="13"/>
  <c r="L6" i="13"/>
  <c r="L14" i="13"/>
  <c r="M15" i="13"/>
  <c r="G7" i="4"/>
  <c r="G8" i="4"/>
  <c r="G9" i="4"/>
  <c r="G10" i="4"/>
  <c r="G11" i="4"/>
  <c r="G12" i="4"/>
  <c r="G6" i="4"/>
</calcChain>
</file>

<file path=xl/sharedStrings.xml><?xml version="1.0" encoding="utf-8"?>
<sst xmlns="http://schemas.openxmlformats.org/spreadsheetml/2006/main" count="331" uniqueCount="114">
  <si>
    <t>Место</t>
  </si>
  <si>
    <t>Команда / участник</t>
  </si>
  <si>
    <t>Разряд</t>
  </si>
  <si>
    <t>Прим</t>
  </si>
  <si>
    <t>№</t>
  </si>
  <si>
    <t>Участники</t>
  </si>
  <si>
    <t>Анапа</t>
  </si>
  <si>
    <t>Новороссийск</t>
  </si>
  <si>
    <t>МО</t>
  </si>
  <si>
    <t>б/р</t>
  </si>
  <si>
    <t>Итоговые результаты</t>
  </si>
  <si>
    <t>рейтинг 
место</t>
  </si>
  <si>
    <t xml:space="preserve">Рейтинг
</t>
  </si>
  <si>
    <t>Итог
рейтинг</t>
  </si>
  <si>
    <t>Коэф</t>
  </si>
  <si>
    <t>1410001511Я</t>
  </si>
  <si>
    <t>ФИО</t>
  </si>
  <si>
    <t>Нечаев Максим Анатольевич</t>
  </si>
  <si>
    <t>III</t>
  </si>
  <si>
    <t>Главный судья</t>
  </si>
  <si>
    <t>Главный секретарь</t>
  </si>
  <si>
    <t>Судья на дорожке</t>
  </si>
  <si>
    <t>Клименко Владимир Анатольевич</t>
  </si>
  <si>
    <t>Главный судья _________________________  Нечаев М. А.</t>
  </si>
  <si>
    <t>Заявочный лист</t>
  </si>
  <si>
    <t>Должность</t>
  </si>
  <si>
    <t>Город</t>
  </si>
  <si>
    <t>Справка о составе и квалификации судейской коллегии</t>
  </si>
  <si>
    <t>Кат.</t>
  </si>
  <si>
    <t>№ 
п/п</t>
  </si>
  <si>
    <t>Дата
 рождения</t>
  </si>
  <si>
    <t>Пищанский Виктор Михайлович</t>
  </si>
  <si>
    <t>Рефери</t>
  </si>
  <si>
    <t>Геленджик</t>
  </si>
  <si>
    <t>Чугунов Андрей</t>
  </si>
  <si>
    <t>Томск</t>
  </si>
  <si>
    <t>Еремин Павел</t>
  </si>
  <si>
    <t>Помазан Геннадий</t>
  </si>
  <si>
    <t>Татьянц Дмитрий</t>
  </si>
  <si>
    <t>Коржов Владимир</t>
  </si>
  <si>
    <t>Борисенко Дмитрий</t>
  </si>
  <si>
    <t>За 3 место</t>
  </si>
  <si>
    <t>Финал</t>
  </si>
  <si>
    <t>За 7 место</t>
  </si>
  <si>
    <t>За 5 место</t>
  </si>
  <si>
    <t>Нечаев Максим</t>
  </si>
  <si>
    <t>Субанов Руслан</t>
  </si>
  <si>
    <t>Изместьев Алексей</t>
  </si>
  <si>
    <t>Малов Сергей</t>
  </si>
  <si>
    <t>Деревянных Александр Николаевич</t>
  </si>
  <si>
    <t>1/2 финала Кубка A</t>
  </si>
  <si>
    <t>1/2 финала Кубка B</t>
  </si>
  <si>
    <t>Главный секретарь ______________________  Клименко В. А.</t>
  </si>
  <si>
    <t>III разр</t>
  </si>
  <si>
    <t>Бонус место</t>
  </si>
  <si>
    <t>II разр</t>
  </si>
  <si>
    <t>Соколовский Павел</t>
  </si>
  <si>
    <t>Команда</t>
  </si>
  <si>
    <t>победы</t>
  </si>
  <si>
    <t>доп</t>
  </si>
  <si>
    <t>место</t>
  </si>
  <si>
    <t/>
  </si>
  <si>
    <t>Тур 1</t>
  </si>
  <si>
    <t>дор.</t>
  </si>
  <si>
    <t>Тур 2</t>
  </si>
  <si>
    <t>Тур 3</t>
  </si>
  <si>
    <t>Тур 4</t>
  </si>
  <si>
    <t>Тур 5</t>
  </si>
  <si>
    <t>Шустваль Евгений</t>
  </si>
  <si>
    <t>дисциплина: петанк</t>
  </si>
  <si>
    <t>Кубок Краснодарского края по боулспорту среди мужчин</t>
  </si>
  <si>
    <t>дисциплина: петанк-двойка</t>
  </si>
  <si>
    <t>Новороссийск 16.03.25</t>
  </si>
  <si>
    <r>
      <t xml:space="preserve">Кубок Краснодарского края по боулспорту среди мужчин
</t>
    </r>
    <r>
      <rPr>
        <b/>
        <sz val="14"/>
        <color indexed="8"/>
        <rFont val="Calibri Light"/>
        <family val="2"/>
        <charset val="204"/>
        <scheme val="major"/>
      </rPr>
      <t>дисциплина: петанк-двойки</t>
    </r>
  </si>
  <si>
    <t xml:space="preserve">Клименко Владимир </t>
  </si>
  <si>
    <t>Климанский Матвей</t>
  </si>
  <si>
    <t xml:space="preserve">Танчин Виктор </t>
  </si>
  <si>
    <t xml:space="preserve">Деревянных Александр </t>
  </si>
  <si>
    <t>Гелдиев Роман</t>
  </si>
  <si>
    <t>Викторов Андрей</t>
  </si>
  <si>
    <t>Валибуз Пьер</t>
  </si>
  <si>
    <t xml:space="preserve">Пищанский Виктор </t>
  </si>
  <si>
    <t>Нечепуренко Василий</t>
  </si>
  <si>
    <t>Нечепуренко Семен</t>
  </si>
  <si>
    <t>Краснодар</t>
  </si>
  <si>
    <t>Еремин Субанов</t>
  </si>
  <si>
    <t>Деревянных Гелдиев</t>
  </si>
  <si>
    <t>Клименко Климанский</t>
  </si>
  <si>
    <t>Танчин Татьянц</t>
  </si>
  <si>
    <t>Нечаев Борисенко</t>
  </si>
  <si>
    <t>Коржов Соколовский</t>
  </si>
  <si>
    <t>Пищанский Валибуз</t>
  </si>
  <si>
    <t>Помазан Шустваль</t>
  </si>
  <si>
    <t>Чугунов Малов</t>
  </si>
  <si>
    <t>Нечепуренко</t>
  </si>
  <si>
    <t>Изместьев Викторов</t>
  </si>
  <si>
    <t>дисциплина: петанк-двойки</t>
  </si>
  <si>
    <t>Еремин, Субанов</t>
  </si>
  <si>
    <t>Пищанский, Валибуз</t>
  </si>
  <si>
    <t>13:5</t>
  </si>
  <si>
    <t>Чугунов, Малов</t>
  </si>
  <si>
    <t>Нечаев, Субанов</t>
  </si>
  <si>
    <t>2:13</t>
  </si>
  <si>
    <t>13:1</t>
  </si>
  <si>
    <t>10:13</t>
  </si>
  <si>
    <t>Танчин, Татьянц</t>
  </si>
  <si>
    <t>Помазан, Шустваль</t>
  </si>
  <si>
    <t>Изместьев, Викторов</t>
  </si>
  <si>
    <t>Деревянных, Гелдиев</t>
  </si>
  <si>
    <t>3:13</t>
  </si>
  <si>
    <t>0:13</t>
  </si>
  <si>
    <t>12:13</t>
  </si>
  <si>
    <t>11:7</t>
  </si>
  <si>
    <t>fix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</si>
</sst>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##;\-##;0"/>
    <numFmt numFmtId="165" formatCode="\+##;\-##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indexed="8"/>
      <name val="Calibri Light"/>
      <family val="1"/>
      <charset val="204"/>
      <scheme val="major"/>
    </font>
    <font>
      <sz val="20"/>
      <color theme="1"/>
      <name val="Calibri"/>
      <family val="2"/>
      <charset val="204"/>
      <scheme val="minor"/>
    </font>
    <font>
      <b/>
      <sz val="14"/>
      <color indexed="8"/>
      <name val="Calibri Light"/>
      <family val="2"/>
      <charset val="204"/>
      <scheme val="major"/>
    </font>
    <font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1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4" fillId="0" borderId="0" xfId="0" applyFont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/>
    <xf numFmtId="0" fontId="0" fillId="0" borderId="0" xfId="0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8" fillId="0" borderId="0" xfId="0" applyFont="1"/>
    <xf numFmtId="0" fontId="0" fillId="0" borderId="0" xfId="0" applyAlignment="1"/>
    <xf numFmtId="14" fontId="3" fillId="0" borderId="1" xfId="0" applyNumberFormat="1" applyFont="1" applyBorder="1"/>
    <xf numFmtId="0" fontId="0" fillId="0" borderId="0" xfId="0"/>
    <xf numFmtId="49" fontId="0" fillId="0" borderId="0" xfId="0" applyNumberFormat="1"/>
    <xf numFmtId="0" fontId="9" fillId="0" borderId="1" xfId="0" applyFont="1" applyBorder="1"/>
    <xf numFmtId="0" fontId="10" fillId="0" borderId="0" xfId="0" applyFont="1"/>
    <xf numFmtId="49" fontId="9" fillId="0" borderId="1" xfId="0" applyNumberFormat="1" applyFont="1" applyBorder="1"/>
    <xf numFmtId="0" fontId="9" fillId="0" borderId="0" xfId="0" applyFont="1" applyFill="1" applyBorder="1"/>
    <xf numFmtId="49" fontId="10" fillId="0" borderId="1" xfId="0" applyNumberFormat="1" applyFont="1" applyBorder="1"/>
    <xf numFmtId="49" fontId="10" fillId="0" borderId="0" xfId="0" applyNumberFormat="1" applyFont="1"/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Alignment="1"/>
    <xf numFmtId="0" fontId="0" fillId="0" borderId="0" xfId="0" applyBorder="1"/>
    <xf numFmtId="0" fontId="1" fillId="0" borderId="3" xfId="0" applyFont="1" applyBorder="1"/>
    <xf numFmtId="0" fontId="1" fillId="0" borderId="0" xfId="0" applyFont="1" applyBorder="1"/>
    <xf numFmtId="0" fontId="4" fillId="0" borderId="0" xfId="0" applyFont="1" applyAlignment="1">
      <alignment horizontal="right"/>
    </xf>
    <xf numFmtId="14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14" fontId="1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165" fontId="13" fillId="3" borderId="23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3" fillId="0" borderId="24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164" fontId="13" fillId="0" borderId="23" xfId="0" applyNumberFormat="1" applyFont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164" fontId="13" fillId="0" borderId="32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5" fontId="13" fillId="3" borderId="33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49" fontId="0" fillId="0" borderId="0" xfId="0" applyNumberFormat="1" applyBorder="1"/>
    <xf numFmtId="0" fontId="10" fillId="0" borderId="0" xfId="0" applyFont="1" applyBorder="1"/>
    <xf numFmtId="49" fontId="9" fillId="0" borderId="0" xfId="0" applyNumberFormat="1" applyFont="1" applyBorder="1"/>
    <xf numFmtId="49" fontId="10" fillId="0" borderId="0" xfId="0" applyNumberFormat="1" applyFont="1" applyBorder="1"/>
    <xf numFmtId="0" fontId="0" fillId="2" borderId="0" xfId="0" applyFill="1" applyAlignment="1"/>
    <xf numFmtId="0" fontId="2" fillId="2" borderId="1" xfId="0" applyFont="1" applyFill="1" applyBorder="1"/>
    <xf numFmtId="0" fontId="1" fillId="2" borderId="0" xfId="0" applyFont="1" applyFill="1"/>
    <xf numFmtId="0" fontId="2" fillId="2" borderId="0" xfId="0" applyFont="1" applyFill="1"/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left"/>
    </xf>
    <xf numFmtId="0" fontId="18" fillId="0" borderId="1" xfId="0" applyFont="1" applyFill="1" applyBorder="1"/>
    <xf numFmtId="0" fontId="18" fillId="0" borderId="1" xfId="0" applyFont="1" applyBorder="1"/>
    <xf numFmtId="0" fontId="18" fillId="2" borderId="1" xfId="0" applyFont="1" applyFill="1" applyBorder="1"/>
    <xf numFmtId="14" fontId="11" fillId="0" borderId="1" xfId="0" applyNumberFormat="1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164" fontId="13" fillId="4" borderId="24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64" fontId="13" fillId="4" borderId="2" xfId="0" applyNumberFormat="1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164" fontId="13" fillId="4" borderId="1" xfId="0" applyNumberFormat="1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164" fontId="13" fillId="4" borderId="2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/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 indent="1"/>
    </xf>
    <xf numFmtId="0" fontId="12" fillId="0" borderId="13" xfId="0" applyFont="1" applyFill="1" applyBorder="1" applyAlignment="1">
      <alignment horizontal="left" vertical="center" wrapText="1" indent="1"/>
    </xf>
    <xf numFmtId="0" fontId="12" fillId="0" borderId="14" xfId="0" applyFont="1" applyFill="1" applyBorder="1" applyAlignment="1">
      <alignment horizontal="left" vertical="center" wrapText="1" indent="1"/>
    </xf>
    <xf numFmtId="0" fontId="12" fillId="0" borderId="20" xfId="0" applyFont="1" applyFill="1" applyBorder="1" applyAlignment="1">
      <alignment horizontal="left" vertical="center" wrapText="1" indent="1"/>
    </xf>
    <xf numFmtId="0" fontId="12" fillId="0" borderId="21" xfId="0" applyFont="1" applyFill="1" applyBorder="1" applyAlignment="1">
      <alignment horizontal="left" vertical="center" wrapText="1" indent="1"/>
    </xf>
    <xf numFmtId="0" fontId="12" fillId="0" borderId="22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12" fillId="0" borderId="1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29" xfId="0" applyFont="1" applyFill="1" applyBorder="1" applyAlignment="1">
      <alignment horizontal="left" vertical="center" wrapText="1" indent="1"/>
    </xf>
    <xf numFmtId="0" fontId="12" fillId="0" borderId="30" xfId="0" applyFont="1" applyFill="1" applyBorder="1" applyAlignment="1">
      <alignment horizontal="left" vertical="center" wrapText="1" indent="1"/>
    </xf>
    <xf numFmtId="0" fontId="12" fillId="0" borderId="31" xfId="0" applyFont="1" applyFill="1" applyBorder="1" applyAlignment="1">
      <alignment horizontal="left" vertical="center" wrapText="1" indent="1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6" workbookViewId="0">
      <selection activeCell="J8" sqref="J8"/>
    </sheetView>
  </sheetViews>
  <sheetFormatPr defaultRowHeight="18.75" x14ac:dyDescent="0.3"/>
  <cols>
    <col min="1" max="1" width="4.42578125" style="2" customWidth="1"/>
    <col min="2" max="2" width="36.28515625" style="2" customWidth="1"/>
    <col min="3" max="3" width="4.85546875" style="2" customWidth="1"/>
    <col min="4" max="4" width="20.5703125" style="2" customWidth="1"/>
    <col min="5" max="5" width="19.85546875" style="2" customWidth="1"/>
    <col min="6" max="16384" width="9.140625" style="2"/>
  </cols>
  <sheetData>
    <row r="1" spans="1:5" x14ac:dyDescent="0.3">
      <c r="A1" s="13"/>
      <c r="B1" s="14"/>
      <c r="C1" s="14"/>
      <c r="D1" s="14"/>
      <c r="E1" s="15" t="s">
        <v>15</v>
      </c>
    </row>
    <row r="2" spans="1:5" x14ac:dyDescent="0.3">
      <c r="A2" s="100"/>
      <c r="B2" s="101"/>
      <c r="C2" s="101"/>
      <c r="D2" s="101"/>
      <c r="E2" s="5" t="s">
        <v>72</v>
      </c>
    </row>
    <row r="3" spans="1:5" x14ac:dyDescent="0.3">
      <c r="A3" s="102" t="s">
        <v>70</v>
      </c>
      <c r="B3" s="103"/>
      <c r="C3" s="103"/>
      <c r="D3" s="103"/>
      <c r="E3" s="101"/>
    </row>
    <row r="4" spans="1:5" x14ac:dyDescent="0.3">
      <c r="A4" s="29"/>
      <c r="B4" s="104" t="s">
        <v>71</v>
      </c>
      <c r="C4" s="104"/>
      <c r="D4" s="104"/>
      <c r="E4" s="28"/>
    </row>
    <row r="5" spans="1:5" x14ac:dyDescent="0.3">
      <c r="A5" s="4"/>
      <c r="B5" s="4"/>
    </row>
    <row r="6" spans="1:5" x14ac:dyDescent="0.3">
      <c r="A6" s="98" t="s">
        <v>27</v>
      </c>
      <c r="B6" s="99"/>
      <c r="C6" s="99"/>
      <c r="D6" s="99"/>
      <c r="E6" s="99"/>
    </row>
    <row r="7" spans="1:5" x14ac:dyDescent="0.3">
      <c r="A7" s="6"/>
      <c r="B7" s="6"/>
      <c r="C7" s="6"/>
    </row>
    <row r="8" spans="1:5" ht="30.75" x14ac:dyDescent="0.3">
      <c r="A8" s="11" t="s">
        <v>29</v>
      </c>
      <c r="B8" s="10" t="s">
        <v>16</v>
      </c>
      <c r="C8" s="1" t="s">
        <v>28</v>
      </c>
      <c r="D8" s="1" t="s">
        <v>25</v>
      </c>
      <c r="E8" s="3" t="s">
        <v>26</v>
      </c>
    </row>
    <row r="9" spans="1:5" x14ac:dyDescent="0.3">
      <c r="A9" s="10">
        <v>1</v>
      </c>
      <c r="B9" s="1" t="s">
        <v>17</v>
      </c>
      <c r="C9" s="10" t="s">
        <v>18</v>
      </c>
      <c r="D9" s="1" t="s">
        <v>19</v>
      </c>
      <c r="E9" s="1" t="s">
        <v>7</v>
      </c>
    </row>
    <row r="10" spans="1:5" x14ac:dyDescent="0.3">
      <c r="A10" s="10">
        <v>2</v>
      </c>
      <c r="B10" s="1" t="s">
        <v>22</v>
      </c>
      <c r="C10" s="10" t="s">
        <v>18</v>
      </c>
      <c r="D10" s="1" t="s">
        <v>20</v>
      </c>
      <c r="E10" s="1" t="s">
        <v>7</v>
      </c>
    </row>
    <row r="11" spans="1:5" x14ac:dyDescent="0.3">
      <c r="A11" s="10">
        <v>3</v>
      </c>
      <c r="B11" s="8" t="s">
        <v>49</v>
      </c>
      <c r="C11" s="10" t="s">
        <v>18</v>
      </c>
      <c r="D11" s="1" t="s">
        <v>21</v>
      </c>
      <c r="E11" s="1" t="s">
        <v>7</v>
      </c>
    </row>
    <row r="12" spans="1:5" x14ac:dyDescent="0.3">
      <c r="A12" s="10">
        <v>4</v>
      </c>
      <c r="B12" s="8" t="s">
        <v>31</v>
      </c>
      <c r="C12" s="10" t="s">
        <v>18</v>
      </c>
      <c r="D12" s="1" t="s">
        <v>32</v>
      </c>
      <c r="E12" s="1" t="s">
        <v>33</v>
      </c>
    </row>
    <row r="13" spans="1:5" x14ac:dyDescent="0.3">
      <c r="A13" s="10">
        <v>5</v>
      </c>
      <c r="B13" s="8"/>
      <c r="C13" s="10"/>
      <c r="D13" s="1"/>
      <c r="E13" s="1"/>
    </row>
    <row r="14" spans="1:5" x14ac:dyDescent="0.3">
      <c r="A14" s="6"/>
      <c r="B14" s="6"/>
      <c r="C14" s="12"/>
    </row>
    <row r="15" spans="1:5" x14ac:dyDescent="0.3">
      <c r="A15" s="6"/>
      <c r="B15" s="6"/>
      <c r="C15" s="6"/>
    </row>
    <row r="16" spans="1:5" x14ac:dyDescent="0.3">
      <c r="A16" s="6"/>
      <c r="B16" s="6"/>
      <c r="C16" s="6"/>
    </row>
    <row r="17" spans="1:3" x14ac:dyDescent="0.3">
      <c r="A17" s="6"/>
      <c r="B17" s="6"/>
      <c r="C17" s="6"/>
    </row>
    <row r="18" spans="1:3" x14ac:dyDescent="0.3">
      <c r="A18" s="6"/>
      <c r="B18" s="6"/>
      <c r="C18" s="6"/>
    </row>
    <row r="19" spans="1:3" x14ac:dyDescent="0.3">
      <c r="A19" s="6"/>
      <c r="B19" s="6"/>
      <c r="C19" s="6"/>
    </row>
    <row r="20" spans="1:3" x14ac:dyDescent="0.3">
      <c r="A20" s="6"/>
      <c r="B20" s="6"/>
      <c r="C20" s="6"/>
    </row>
    <row r="21" spans="1:3" x14ac:dyDescent="0.3">
      <c r="A21" s="6"/>
      <c r="B21" s="6"/>
      <c r="C21" s="6"/>
    </row>
  </sheetData>
  <mergeCells count="4">
    <mergeCell ref="A6:E6"/>
    <mergeCell ref="A2:D2"/>
    <mergeCell ref="A3:E3"/>
    <mergeCell ref="B4:D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&amp;C&amp;12РОО "Федерация спортивных дисциплин боулспорта Краснодарского края"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A18" zoomScaleNormal="100" workbookViewId="0">
      <selection activeCell="N8" sqref="N8"/>
    </sheetView>
  </sheetViews>
  <sheetFormatPr defaultRowHeight="18.75" x14ac:dyDescent="0.3"/>
  <cols>
    <col min="1" max="1" width="6.85546875" style="2" customWidth="1"/>
    <col min="2" max="2" width="27.140625" style="75" customWidth="1"/>
    <col min="3" max="3" width="12.7109375" style="2" customWidth="1"/>
    <col min="4" max="4" width="14.5703125" style="2" customWidth="1"/>
    <col min="5" max="5" width="19.28515625" style="2" customWidth="1"/>
    <col min="6" max="16384" width="9.140625" style="2"/>
  </cols>
  <sheetData>
    <row r="1" spans="1:5" x14ac:dyDescent="0.3">
      <c r="A1" s="13"/>
      <c r="B1" s="72"/>
      <c r="C1" s="14"/>
      <c r="D1" s="14"/>
      <c r="E1" s="15" t="s">
        <v>15</v>
      </c>
    </row>
    <row r="2" spans="1:5" x14ac:dyDescent="0.3">
      <c r="A2" s="100"/>
      <c r="B2" s="101"/>
      <c r="C2" s="101"/>
      <c r="D2" s="101"/>
      <c r="E2" s="5" t="s">
        <v>72</v>
      </c>
    </row>
    <row r="3" spans="1:5" x14ac:dyDescent="0.3">
      <c r="A3" s="13"/>
      <c r="B3" s="72"/>
      <c r="C3" s="14"/>
      <c r="D3" s="14"/>
      <c r="E3" s="17"/>
    </row>
    <row r="4" spans="1:5" x14ac:dyDescent="0.3">
      <c r="A4" s="102" t="s">
        <v>70</v>
      </c>
      <c r="B4" s="103"/>
      <c r="C4" s="103"/>
      <c r="D4" s="103"/>
      <c r="E4" s="101"/>
    </row>
    <row r="5" spans="1:5" x14ac:dyDescent="0.3">
      <c r="B5" s="75" t="s">
        <v>69</v>
      </c>
    </row>
    <row r="7" spans="1:5" x14ac:dyDescent="0.3">
      <c r="A7" s="3"/>
      <c r="B7" s="73" t="s">
        <v>24</v>
      </c>
      <c r="C7" s="3"/>
      <c r="D7" s="3"/>
      <c r="E7" s="3"/>
    </row>
    <row r="8" spans="1:5" ht="32.25" x14ac:dyDescent="0.3">
      <c r="A8" s="1" t="s">
        <v>4</v>
      </c>
      <c r="B8" s="37" t="s">
        <v>5</v>
      </c>
      <c r="C8" s="16" t="s">
        <v>30</v>
      </c>
      <c r="D8" s="1" t="s">
        <v>2</v>
      </c>
      <c r="E8" s="1" t="s">
        <v>8</v>
      </c>
    </row>
    <row r="9" spans="1:5" x14ac:dyDescent="0.3">
      <c r="A9" s="1">
        <v>1</v>
      </c>
      <c r="B9" s="37" t="s">
        <v>36</v>
      </c>
      <c r="C9" s="19">
        <v>32157</v>
      </c>
      <c r="D9" s="1" t="s">
        <v>9</v>
      </c>
      <c r="E9" s="1" t="s">
        <v>7</v>
      </c>
    </row>
    <row r="10" spans="1:5" x14ac:dyDescent="0.3">
      <c r="A10" s="1">
        <v>2</v>
      </c>
      <c r="B10" s="37" t="s">
        <v>46</v>
      </c>
      <c r="C10" s="36">
        <v>32950</v>
      </c>
      <c r="D10" s="1" t="s">
        <v>53</v>
      </c>
      <c r="E10" s="1" t="s">
        <v>7</v>
      </c>
    </row>
    <row r="11" spans="1:5" x14ac:dyDescent="0.3">
      <c r="A11" s="1">
        <v>3</v>
      </c>
      <c r="B11" s="37" t="s">
        <v>75</v>
      </c>
      <c r="C11" s="19"/>
      <c r="D11" s="1" t="s">
        <v>9</v>
      </c>
      <c r="E11" s="1" t="s">
        <v>7</v>
      </c>
    </row>
    <row r="12" spans="1:5" x14ac:dyDescent="0.3">
      <c r="A12" s="1">
        <v>4</v>
      </c>
      <c r="B12" s="84" t="s">
        <v>74</v>
      </c>
      <c r="C12" s="36">
        <v>28411</v>
      </c>
      <c r="D12" s="1" t="s">
        <v>9</v>
      </c>
      <c r="E12" s="1" t="s">
        <v>7</v>
      </c>
    </row>
    <row r="13" spans="1:5" x14ac:dyDescent="0.3">
      <c r="A13" s="1">
        <v>5</v>
      </c>
      <c r="B13" s="85" t="s">
        <v>76</v>
      </c>
      <c r="C13" s="19">
        <v>22167</v>
      </c>
      <c r="D13" s="1" t="s">
        <v>9</v>
      </c>
      <c r="E13" s="1" t="s">
        <v>33</v>
      </c>
    </row>
    <row r="14" spans="1:5" x14ac:dyDescent="0.3">
      <c r="A14" s="1">
        <v>6</v>
      </c>
      <c r="B14" s="37" t="s">
        <v>38</v>
      </c>
      <c r="C14" s="19">
        <v>26595</v>
      </c>
      <c r="D14" s="1" t="s">
        <v>9</v>
      </c>
      <c r="E14" s="1" t="s">
        <v>33</v>
      </c>
    </row>
    <row r="15" spans="1:5" x14ac:dyDescent="0.3">
      <c r="A15" s="1">
        <v>7</v>
      </c>
      <c r="B15" s="37" t="s">
        <v>37</v>
      </c>
      <c r="C15" s="36">
        <v>25339</v>
      </c>
      <c r="D15" s="1" t="s">
        <v>9</v>
      </c>
      <c r="E15" s="1" t="s">
        <v>7</v>
      </c>
    </row>
    <row r="16" spans="1:5" x14ac:dyDescent="0.3">
      <c r="A16" s="1">
        <v>8</v>
      </c>
      <c r="B16" s="37" t="s">
        <v>68</v>
      </c>
      <c r="C16" s="19">
        <v>26309</v>
      </c>
      <c r="D16" s="1" t="s">
        <v>9</v>
      </c>
      <c r="E16" s="1" t="s">
        <v>7</v>
      </c>
    </row>
    <row r="17" spans="1:5" x14ac:dyDescent="0.3">
      <c r="A17" s="1">
        <v>9</v>
      </c>
      <c r="B17" s="86" t="s">
        <v>77</v>
      </c>
      <c r="C17" s="36">
        <v>32028</v>
      </c>
      <c r="D17" s="1" t="s">
        <v>9</v>
      </c>
      <c r="E17" s="1" t="s">
        <v>7</v>
      </c>
    </row>
    <row r="18" spans="1:5" x14ac:dyDescent="0.3">
      <c r="A18" s="1">
        <v>10</v>
      </c>
      <c r="B18" s="37" t="s">
        <v>78</v>
      </c>
      <c r="C18" s="19">
        <v>29738</v>
      </c>
      <c r="D18" s="1" t="s">
        <v>9</v>
      </c>
      <c r="E18" s="1" t="s">
        <v>7</v>
      </c>
    </row>
    <row r="19" spans="1:5" x14ac:dyDescent="0.3">
      <c r="A19" s="1">
        <v>11</v>
      </c>
      <c r="B19" s="37" t="s">
        <v>47</v>
      </c>
      <c r="C19" s="19">
        <v>35733</v>
      </c>
      <c r="D19" s="1" t="s">
        <v>9</v>
      </c>
      <c r="E19" s="1" t="s">
        <v>35</v>
      </c>
    </row>
    <row r="20" spans="1:5" x14ac:dyDescent="0.3">
      <c r="A20" s="1">
        <v>12</v>
      </c>
      <c r="B20" s="85" t="s">
        <v>79</v>
      </c>
      <c r="C20" s="38">
        <v>26397</v>
      </c>
      <c r="D20" s="1" t="s">
        <v>9</v>
      </c>
      <c r="E20" s="1" t="s">
        <v>6</v>
      </c>
    </row>
    <row r="21" spans="1:5" x14ac:dyDescent="0.3">
      <c r="A21" s="1">
        <v>13</v>
      </c>
      <c r="B21" s="85" t="s">
        <v>80</v>
      </c>
      <c r="C21" s="38">
        <v>23156</v>
      </c>
      <c r="D21" s="1" t="s">
        <v>9</v>
      </c>
      <c r="E21" s="1" t="s">
        <v>33</v>
      </c>
    </row>
    <row r="22" spans="1:5" x14ac:dyDescent="0.3">
      <c r="A22" s="1">
        <v>14</v>
      </c>
      <c r="B22" s="84" t="s">
        <v>81</v>
      </c>
      <c r="C22" s="87">
        <v>22503</v>
      </c>
      <c r="D22" s="1" t="s">
        <v>9</v>
      </c>
      <c r="E22" s="1" t="s">
        <v>33</v>
      </c>
    </row>
    <row r="23" spans="1:5" x14ac:dyDescent="0.3">
      <c r="A23" s="1">
        <v>15</v>
      </c>
      <c r="B23" s="37" t="s">
        <v>45</v>
      </c>
      <c r="C23" s="19">
        <v>26304</v>
      </c>
      <c r="D23" s="1" t="s">
        <v>55</v>
      </c>
      <c r="E23" s="1" t="s">
        <v>7</v>
      </c>
    </row>
    <row r="24" spans="1:5" x14ac:dyDescent="0.3">
      <c r="A24" s="1">
        <v>16</v>
      </c>
      <c r="B24" s="37" t="s">
        <v>40</v>
      </c>
      <c r="C24" s="38">
        <v>29368</v>
      </c>
      <c r="D24" s="1" t="s">
        <v>9</v>
      </c>
      <c r="E24" s="1" t="s">
        <v>7</v>
      </c>
    </row>
    <row r="25" spans="1:5" x14ac:dyDescent="0.3">
      <c r="A25" s="1">
        <v>17</v>
      </c>
      <c r="B25" s="84" t="s">
        <v>82</v>
      </c>
      <c r="C25" s="38">
        <v>34218</v>
      </c>
      <c r="D25" s="1" t="s">
        <v>9</v>
      </c>
      <c r="E25" s="1" t="s">
        <v>84</v>
      </c>
    </row>
    <row r="26" spans="1:5" x14ac:dyDescent="0.3">
      <c r="A26" s="1">
        <v>18</v>
      </c>
      <c r="B26" s="84" t="s">
        <v>83</v>
      </c>
      <c r="C26" s="38">
        <v>33548</v>
      </c>
      <c r="D26" s="1" t="s">
        <v>9</v>
      </c>
      <c r="E26" s="1" t="s">
        <v>84</v>
      </c>
    </row>
    <row r="27" spans="1:5" x14ac:dyDescent="0.3">
      <c r="A27" s="1">
        <v>19</v>
      </c>
      <c r="B27" s="37" t="s">
        <v>39</v>
      </c>
      <c r="C27" s="19">
        <v>22276</v>
      </c>
      <c r="D27" s="1" t="s">
        <v>9</v>
      </c>
      <c r="E27" s="1" t="s">
        <v>6</v>
      </c>
    </row>
    <row r="28" spans="1:5" x14ac:dyDescent="0.3">
      <c r="A28" s="1">
        <v>20</v>
      </c>
      <c r="B28" s="37" t="s">
        <v>56</v>
      </c>
      <c r="C28" s="19">
        <v>28635</v>
      </c>
      <c r="D28" s="1" t="s">
        <v>9</v>
      </c>
      <c r="E28" s="1" t="s">
        <v>6</v>
      </c>
    </row>
    <row r="29" spans="1:5" x14ac:dyDescent="0.3">
      <c r="A29" s="1">
        <v>21</v>
      </c>
      <c r="B29" s="37" t="s">
        <v>34</v>
      </c>
      <c r="C29" s="19"/>
      <c r="D29" s="1" t="s">
        <v>9</v>
      </c>
      <c r="E29" s="1" t="s">
        <v>6</v>
      </c>
    </row>
    <row r="30" spans="1:5" x14ac:dyDescent="0.3">
      <c r="A30" s="1">
        <v>22</v>
      </c>
      <c r="B30" s="37" t="s">
        <v>48</v>
      </c>
      <c r="C30" s="19">
        <v>29149</v>
      </c>
      <c r="D30" s="1" t="s">
        <v>9</v>
      </c>
      <c r="E30" s="1" t="s">
        <v>6</v>
      </c>
    </row>
    <row r="31" spans="1:5" x14ac:dyDescent="0.3">
      <c r="A31" s="1">
        <v>23</v>
      </c>
      <c r="B31" s="37"/>
      <c r="C31" s="19"/>
      <c r="D31" s="1"/>
      <c r="E31" s="1"/>
    </row>
    <row r="32" spans="1:5" x14ac:dyDescent="0.3">
      <c r="A32" s="1">
        <v>24</v>
      </c>
      <c r="B32" s="37"/>
      <c r="C32" s="19"/>
      <c r="D32" s="1"/>
      <c r="E32" s="1"/>
    </row>
    <row r="33" spans="1:5" x14ac:dyDescent="0.3">
      <c r="A33" s="1"/>
      <c r="B33" s="37"/>
      <c r="C33" s="19"/>
      <c r="D33" s="1"/>
      <c r="E33" s="1"/>
    </row>
    <row r="34" spans="1:5" x14ac:dyDescent="0.3">
      <c r="A34" s="1"/>
      <c r="B34" s="37"/>
      <c r="C34" s="19"/>
      <c r="D34" s="1"/>
      <c r="E34" s="1"/>
    </row>
    <row r="35" spans="1:5" x14ac:dyDescent="0.3">
      <c r="A35" s="1"/>
      <c r="B35" s="37"/>
      <c r="C35" s="19"/>
      <c r="D35" s="1"/>
      <c r="E35" s="1"/>
    </row>
    <row r="36" spans="1:5" x14ac:dyDescent="0.3">
      <c r="A36" s="1"/>
      <c r="B36" s="37"/>
      <c r="C36" s="19"/>
      <c r="D36" s="1"/>
      <c r="E36" s="1"/>
    </row>
    <row r="37" spans="1:5" x14ac:dyDescent="0.3">
      <c r="A37" s="1"/>
      <c r="B37" s="37"/>
      <c r="C37" s="19"/>
      <c r="D37" s="1"/>
      <c r="E37" s="1"/>
    </row>
    <row r="38" spans="1:5" x14ac:dyDescent="0.3">
      <c r="A38" s="1"/>
      <c r="B38" s="37"/>
      <c r="C38" s="19"/>
      <c r="D38" s="1"/>
      <c r="E38" s="1"/>
    </row>
    <row r="39" spans="1:5" x14ac:dyDescent="0.3">
      <c r="A39" s="6"/>
      <c r="B39" s="74"/>
      <c r="C39" s="6"/>
      <c r="D39" s="6"/>
      <c r="E39" s="6"/>
    </row>
    <row r="40" spans="1:5" x14ac:dyDescent="0.3">
      <c r="A40" s="6"/>
      <c r="B40" s="74"/>
      <c r="C40" s="6"/>
      <c r="D40" s="6"/>
      <c r="E40" s="6"/>
    </row>
    <row r="41" spans="1:5" x14ac:dyDescent="0.3">
      <c r="A41" s="6"/>
      <c r="B41" s="74" t="s">
        <v>23</v>
      </c>
      <c r="C41" s="6"/>
      <c r="D41" s="6"/>
      <c r="E41" s="6"/>
    </row>
    <row r="42" spans="1:5" x14ac:dyDescent="0.3">
      <c r="A42" s="6"/>
      <c r="B42" s="74"/>
      <c r="C42" s="6"/>
      <c r="D42" s="6"/>
      <c r="E42" s="6"/>
    </row>
    <row r="43" spans="1:5" x14ac:dyDescent="0.3">
      <c r="A43" s="6"/>
      <c r="B43" s="74" t="s">
        <v>52</v>
      </c>
      <c r="C43" s="6"/>
      <c r="D43" s="6"/>
      <c r="E43" s="6"/>
    </row>
    <row r="44" spans="1:5" x14ac:dyDescent="0.3">
      <c r="A44" s="6"/>
      <c r="B44" s="74"/>
      <c r="C44" s="6"/>
      <c r="D44" s="6"/>
      <c r="E44" s="6"/>
    </row>
    <row r="45" spans="1:5" x14ac:dyDescent="0.3">
      <c r="A45" s="6"/>
      <c r="B45" s="74"/>
      <c r="C45" s="6"/>
      <c r="D45" s="6"/>
      <c r="E45" s="6"/>
    </row>
  </sheetData>
  <mergeCells count="2">
    <mergeCell ref="A2:D2"/>
    <mergeCell ref="A4:E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&amp;C&amp;12РОО "Федерация спортивных дисциплин боулспорта Краснодарского края"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M14" sqref="M14"/>
    </sheetView>
  </sheetViews>
  <sheetFormatPr defaultRowHeight="15" x14ac:dyDescent="0.25"/>
  <cols>
    <col min="1" max="1" width="4" style="41" customWidth="1"/>
    <col min="2" max="12" width="10.28515625" style="20" customWidth="1"/>
    <col min="13" max="13" width="10.28515625" style="83" customWidth="1"/>
    <col min="14" max="15" width="10.28515625" style="20" customWidth="1"/>
    <col min="16" max="16384" width="9.140625" style="20"/>
  </cols>
  <sheetData>
    <row r="1" spans="2:14" ht="59.25" customHeight="1" x14ac:dyDescent="0.4">
      <c r="B1" s="119" t="s">
        <v>73</v>
      </c>
      <c r="C1" s="120"/>
      <c r="D1" s="120"/>
      <c r="E1" s="120"/>
      <c r="F1" s="120"/>
      <c r="G1" s="120"/>
      <c r="H1" s="120"/>
      <c r="I1" s="120"/>
      <c r="J1" s="120"/>
      <c r="K1" s="120"/>
      <c r="L1" s="121"/>
      <c r="M1" s="121"/>
      <c r="N1" s="121"/>
    </row>
    <row r="2" spans="2:14" ht="15.75" thickBot="1" x14ac:dyDescent="0.3">
      <c r="M2" s="20"/>
    </row>
    <row r="3" spans="2:14" ht="30" customHeight="1" thickBot="1" x14ac:dyDescent="0.3">
      <c r="B3" s="80"/>
      <c r="C3" s="108" t="s">
        <v>57</v>
      </c>
      <c r="D3" s="109"/>
      <c r="E3" s="110"/>
      <c r="F3" s="43">
        <v>1</v>
      </c>
      <c r="G3" s="43">
        <v>2</v>
      </c>
      <c r="H3" s="43">
        <v>3</v>
      </c>
      <c r="I3" s="44">
        <v>4</v>
      </c>
      <c r="J3" s="44">
        <v>5</v>
      </c>
      <c r="K3" s="80" t="s">
        <v>58</v>
      </c>
      <c r="L3" s="43" t="s">
        <v>59</v>
      </c>
      <c r="M3" s="82" t="s">
        <v>60</v>
      </c>
    </row>
    <row r="4" spans="2:14" ht="24" customHeight="1" x14ac:dyDescent="0.25">
      <c r="B4" s="111">
        <v>1</v>
      </c>
      <c r="C4" s="113" t="s">
        <v>85</v>
      </c>
      <c r="D4" s="114"/>
      <c r="E4" s="115"/>
      <c r="F4" s="47" t="s">
        <v>61</v>
      </c>
      <c r="G4" s="48" t="str">
        <f ca="1">INDIRECT(ADDRESS(23,6))&amp;":"&amp;INDIRECT(ADDRESS(23,7))</f>
        <v>10:7</v>
      </c>
      <c r="H4" s="48" t="str">
        <f ca="1">INDIRECT(ADDRESS(26,7))&amp;":"&amp;INDIRECT(ADDRESS(26,6))</f>
        <v>13:7</v>
      </c>
      <c r="I4" s="48" t="str">
        <f ca="1">INDIRECT(ADDRESS(30,6))&amp;":"&amp;INDIRECT(ADDRESS(30,7))</f>
        <v>13:5</v>
      </c>
      <c r="J4" s="49" t="str">
        <f ca="1">INDIRECT(ADDRESS(35,7))&amp;":"&amp;INDIRECT(ADDRESS(35,6))</f>
        <v>11:4</v>
      </c>
      <c r="K4" s="122">
        <f ca="1">IF(COUNT(F5:J5)=0,"",COUNTIF(F5:J5,"&gt;0")+0.5*COUNTIF(F5:J5,0))</f>
        <v>4</v>
      </c>
      <c r="L4" s="50"/>
      <c r="M4" s="124">
        <v>1</v>
      </c>
    </row>
    <row r="5" spans="2:14" ht="24" customHeight="1" x14ac:dyDescent="0.25">
      <c r="B5" s="112"/>
      <c r="C5" s="116"/>
      <c r="D5" s="117"/>
      <c r="E5" s="118"/>
      <c r="F5" s="51" t="s">
        <v>61</v>
      </c>
      <c r="G5" s="52">
        <f ca="1">IF(LEN(INDIRECT(ADDRESS(ROW()-1, COLUMN())))=1,"",INDIRECT(ADDRESS(23,6))-INDIRECT(ADDRESS(23,7)))</f>
        <v>3</v>
      </c>
      <c r="H5" s="52">
        <f ca="1">IF(LEN(INDIRECT(ADDRESS(ROW()-1, COLUMN())))=1,"",INDIRECT(ADDRESS(26,7))-INDIRECT(ADDRESS(26,6)))</f>
        <v>6</v>
      </c>
      <c r="I5" s="52">
        <f ca="1">IF(LEN(INDIRECT(ADDRESS(ROW()-1, COLUMN())))=1,"",INDIRECT(ADDRESS(30,6))-INDIRECT(ADDRESS(30,7)))</f>
        <v>8</v>
      </c>
      <c r="J5" s="53">
        <f ca="1">IF(LEN(INDIRECT(ADDRESS(ROW()-1, COLUMN())))=1,"",INDIRECT(ADDRESS(35,7))-INDIRECT(ADDRESS(35,6)))</f>
        <v>7</v>
      </c>
      <c r="K5" s="123"/>
      <c r="L5" s="52">
        <f ca="1">IF(COUNT(F5:J5)=0,"",SUM(F5:J5))</f>
        <v>24</v>
      </c>
      <c r="M5" s="125"/>
    </row>
    <row r="6" spans="2:14" ht="24" customHeight="1" x14ac:dyDescent="0.25">
      <c r="B6" s="126">
        <v>2</v>
      </c>
      <c r="C6" s="116" t="s">
        <v>86</v>
      </c>
      <c r="D6" s="117"/>
      <c r="E6" s="118"/>
      <c r="F6" s="54" t="str">
        <f ca="1">INDIRECT(ADDRESS(23,7))&amp;":"&amp;INDIRECT(ADDRESS(23,6))</f>
        <v>7:10</v>
      </c>
      <c r="G6" s="55" t="s">
        <v>61</v>
      </c>
      <c r="H6" s="56" t="str">
        <f ca="1">INDIRECT(ADDRESS(31,6))&amp;":"&amp;INDIRECT(ADDRESS(31,7))</f>
        <v>12:3</v>
      </c>
      <c r="I6" s="56" t="str">
        <f ca="1">INDIRECT(ADDRESS(34,7))&amp;":"&amp;INDIRECT(ADDRESS(34,6))</f>
        <v>4:12</v>
      </c>
      <c r="J6" s="57" t="str">
        <f ca="1">INDIRECT(ADDRESS(18,6))&amp;":"&amp;INDIRECT(ADDRESS(18,7))</f>
        <v>1:5</v>
      </c>
      <c r="K6" s="123">
        <f ca="1">IF(COUNT(F7:J7)=0,"",COUNTIF(F7:J7,"&gt;0")+0.5*COUNTIF(F7:J7,0))</f>
        <v>1</v>
      </c>
      <c r="L6" s="52"/>
      <c r="M6" s="125">
        <v>4</v>
      </c>
    </row>
    <row r="7" spans="2:14" ht="24" customHeight="1" x14ac:dyDescent="0.25">
      <c r="B7" s="112"/>
      <c r="C7" s="116"/>
      <c r="D7" s="117"/>
      <c r="E7" s="118"/>
      <c r="F7" s="58">
        <f ca="1">IF(LEN(INDIRECT(ADDRESS(ROW()-1, COLUMN())))=1,"",INDIRECT(ADDRESS(23,7))-INDIRECT(ADDRESS(23,6)))</f>
        <v>-3</v>
      </c>
      <c r="G7" s="59" t="s">
        <v>61</v>
      </c>
      <c r="H7" s="52">
        <f ca="1">IF(LEN(INDIRECT(ADDRESS(ROW()-1, COLUMN())))=1,"",INDIRECT(ADDRESS(31,6))-INDIRECT(ADDRESS(31,7)))</f>
        <v>9</v>
      </c>
      <c r="I7" s="52">
        <f ca="1">IF(LEN(INDIRECT(ADDRESS(ROW()-1, COLUMN())))=1,"",INDIRECT(ADDRESS(34,7))-INDIRECT(ADDRESS(34,6)))</f>
        <v>-8</v>
      </c>
      <c r="J7" s="53">
        <f ca="1">IF(LEN(INDIRECT(ADDRESS(ROW()-1, COLUMN())))=1,"",INDIRECT(ADDRESS(18,6))-INDIRECT(ADDRESS(18,7)))</f>
        <v>-4</v>
      </c>
      <c r="K7" s="123"/>
      <c r="L7" s="52">
        <f ca="1">IF(COUNT(F7:J7)=0,"",SUM(F7:J7))</f>
        <v>-6</v>
      </c>
      <c r="M7" s="125"/>
    </row>
    <row r="8" spans="2:14" ht="24" customHeight="1" x14ac:dyDescent="0.25">
      <c r="B8" s="126">
        <v>3</v>
      </c>
      <c r="C8" s="116" t="s">
        <v>87</v>
      </c>
      <c r="D8" s="117"/>
      <c r="E8" s="118"/>
      <c r="F8" s="54" t="str">
        <f ca="1">INDIRECT(ADDRESS(26,6))&amp;":"&amp;INDIRECT(ADDRESS(26,7))</f>
        <v>7:13</v>
      </c>
      <c r="G8" s="56" t="str">
        <f ca="1">INDIRECT(ADDRESS(31,7))&amp;":"&amp;INDIRECT(ADDRESS(31,6))</f>
        <v>3:12</v>
      </c>
      <c r="H8" s="55" t="s">
        <v>61</v>
      </c>
      <c r="I8" s="56" t="str">
        <f ca="1">INDIRECT(ADDRESS(19,6))&amp;":"&amp;INDIRECT(ADDRESS(19,7))</f>
        <v>8:10</v>
      </c>
      <c r="J8" s="57" t="str">
        <f ca="1">INDIRECT(ADDRESS(22,7))&amp;":"&amp;INDIRECT(ADDRESS(22,6))</f>
        <v>7:9</v>
      </c>
      <c r="K8" s="123">
        <f ca="1">IF(COUNT(F9:J9)=0,"",COUNTIF(F9:J9,"&gt;0")+0.5*COUNTIF(F9:J9,0))</f>
        <v>0</v>
      </c>
      <c r="L8" s="52"/>
      <c r="M8" s="125">
        <v>5</v>
      </c>
    </row>
    <row r="9" spans="2:14" ht="24" customHeight="1" x14ac:dyDescent="0.25">
      <c r="B9" s="112"/>
      <c r="C9" s="116"/>
      <c r="D9" s="117"/>
      <c r="E9" s="118"/>
      <c r="F9" s="58">
        <f ca="1">IF(LEN(INDIRECT(ADDRESS(ROW()-1, COLUMN())))=1,"",INDIRECT(ADDRESS(26,6))-INDIRECT(ADDRESS(26,7)))</f>
        <v>-6</v>
      </c>
      <c r="G9" s="52">
        <f ca="1">IF(LEN(INDIRECT(ADDRESS(ROW()-1, COLUMN())))=1,"",INDIRECT(ADDRESS(31,7))-INDIRECT(ADDRESS(31,6)))</f>
        <v>-9</v>
      </c>
      <c r="H9" s="59" t="s">
        <v>61</v>
      </c>
      <c r="I9" s="52">
        <f ca="1">IF(LEN(INDIRECT(ADDRESS(ROW()-1, COLUMN())))=1,"",INDIRECT(ADDRESS(19,6))-INDIRECT(ADDRESS(19,7)))</f>
        <v>-2</v>
      </c>
      <c r="J9" s="53">
        <f ca="1">IF(LEN(INDIRECT(ADDRESS(ROW()-1, COLUMN())))=1,"",INDIRECT(ADDRESS(22,7))-INDIRECT(ADDRESS(22,6)))</f>
        <v>-2</v>
      </c>
      <c r="K9" s="123"/>
      <c r="L9" s="52">
        <f ca="1">IF(COUNT(F9:J9)=0,"",SUM(F9:J9))</f>
        <v>-19</v>
      </c>
      <c r="M9" s="125"/>
    </row>
    <row r="10" spans="2:14" ht="24" customHeight="1" x14ac:dyDescent="0.25">
      <c r="B10" s="126">
        <v>4</v>
      </c>
      <c r="C10" s="116" t="s">
        <v>88</v>
      </c>
      <c r="D10" s="117"/>
      <c r="E10" s="118"/>
      <c r="F10" s="54" t="str">
        <f ca="1">INDIRECT(ADDRESS(30,7))&amp;":"&amp;INDIRECT(ADDRESS(30,6))</f>
        <v>5:13</v>
      </c>
      <c r="G10" s="56" t="str">
        <f ca="1">INDIRECT(ADDRESS(34,6))&amp;":"&amp;INDIRECT(ADDRESS(34,7))</f>
        <v>12:4</v>
      </c>
      <c r="H10" s="56" t="str">
        <f ca="1">INDIRECT(ADDRESS(19,7))&amp;":"&amp;INDIRECT(ADDRESS(19,6))</f>
        <v>10:8</v>
      </c>
      <c r="I10" s="55" t="s">
        <v>61</v>
      </c>
      <c r="J10" s="57" t="str">
        <f ca="1">INDIRECT(ADDRESS(27,6))&amp;":"&amp;INDIRECT(ADDRESS(27,7))</f>
        <v>7:8</v>
      </c>
      <c r="K10" s="123">
        <f ca="1">IF(COUNT(F11:J11)=0,"",COUNTIF(F11:J11,"&gt;0")+0.5*COUNTIF(F11:J11,0))</f>
        <v>2</v>
      </c>
      <c r="L10" s="52"/>
      <c r="M10" s="125">
        <v>3</v>
      </c>
    </row>
    <row r="11" spans="2:14" ht="24" customHeight="1" x14ac:dyDescent="0.25">
      <c r="B11" s="112"/>
      <c r="C11" s="116"/>
      <c r="D11" s="117"/>
      <c r="E11" s="118"/>
      <c r="F11" s="58">
        <f ca="1">IF(LEN(INDIRECT(ADDRESS(ROW()-1, COLUMN())))=1,"",INDIRECT(ADDRESS(30,7))-INDIRECT(ADDRESS(30,6)))</f>
        <v>-8</v>
      </c>
      <c r="G11" s="52">
        <f ca="1">IF(LEN(INDIRECT(ADDRESS(ROW()-1, COLUMN())))=1,"",INDIRECT(ADDRESS(34,6))-INDIRECT(ADDRESS(34,7)))</f>
        <v>8</v>
      </c>
      <c r="H11" s="52">
        <f ca="1">IF(LEN(INDIRECT(ADDRESS(ROW()-1, COLUMN())))=1,"",INDIRECT(ADDRESS(19,7))-INDIRECT(ADDRESS(19,6)))</f>
        <v>2</v>
      </c>
      <c r="I11" s="59" t="s">
        <v>61</v>
      </c>
      <c r="J11" s="53">
        <f ca="1">IF(LEN(INDIRECT(ADDRESS(ROW()-1, COLUMN())))=1,"",INDIRECT(ADDRESS(27,6))-INDIRECT(ADDRESS(27,7)))</f>
        <v>-1</v>
      </c>
      <c r="K11" s="123"/>
      <c r="L11" s="52">
        <f ca="1">IF(COUNT(F11:J11)=0,"",SUM(F11:J11))</f>
        <v>1</v>
      </c>
      <c r="M11" s="125"/>
    </row>
    <row r="12" spans="2:14" ht="24" customHeight="1" x14ac:dyDescent="0.25">
      <c r="B12" s="126">
        <v>5</v>
      </c>
      <c r="C12" s="116" t="s">
        <v>89</v>
      </c>
      <c r="D12" s="117"/>
      <c r="E12" s="118"/>
      <c r="F12" s="54" t="str">
        <f ca="1">INDIRECT(ADDRESS(35,6))&amp;":"&amp;INDIRECT(ADDRESS(35,7))</f>
        <v>4:11</v>
      </c>
      <c r="G12" s="56" t="str">
        <f ca="1">INDIRECT(ADDRESS(18,7))&amp;":"&amp;INDIRECT(ADDRESS(18,6))</f>
        <v>5:1</v>
      </c>
      <c r="H12" s="56" t="str">
        <f ca="1">INDIRECT(ADDRESS(22,6))&amp;":"&amp;INDIRECT(ADDRESS(22,7))</f>
        <v>9:7</v>
      </c>
      <c r="I12" s="56" t="str">
        <f ca="1">INDIRECT(ADDRESS(27,7))&amp;":"&amp;INDIRECT(ADDRESS(27,6))</f>
        <v>8:7</v>
      </c>
      <c r="J12" s="60" t="s">
        <v>61</v>
      </c>
      <c r="K12" s="123">
        <f ca="1">IF(COUNT(F13:J13)=0,"",COUNTIF(F13:J13,"&gt;0")+0.5*COUNTIF(F13:J13,0))</f>
        <v>3</v>
      </c>
      <c r="L12" s="52"/>
      <c r="M12" s="125">
        <v>2</v>
      </c>
    </row>
    <row r="13" spans="2:14" ht="24" customHeight="1" thickBot="1" x14ac:dyDescent="0.3">
      <c r="B13" s="127"/>
      <c r="C13" s="128"/>
      <c r="D13" s="129"/>
      <c r="E13" s="130"/>
      <c r="F13" s="61">
        <f ca="1">IF(LEN(INDIRECT(ADDRESS(ROW()-1, COLUMN())))=1,"",INDIRECT(ADDRESS(35,6))-INDIRECT(ADDRESS(35,7)))</f>
        <v>-7</v>
      </c>
      <c r="G13" s="62">
        <f ca="1">IF(LEN(INDIRECT(ADDRESS(ROW()-1, COLUMN())))=1,"",INDIRECT(ADDRESS(18,7))-INDIRECT(ADDRESS(18,6)))</f>
        <v>4</v>
      </c>
      <c r="H13" s="62">
        <f ca="1">IF(LEN(INDIRECT(ADDRESS(ROW()-1, COLUMN())))=1,"",INDIRECT(ADDRESS(22,6))-INDIRECT(ADDRESS(22,7)))</f>
        <v>2</v>
      </c>
      <c r="I13" s="62">
        <f ca="1">IF(LEN(INDIRECT(ADDRESS(ROW()-1, COLUMN())))=1,"",INDIRECT(ADDRESS(27,7))-INDIRECT(ADDRESS(27,6)))</f>
        <v>1</v>
      </c>
      <c r="J13" s="63" t="s">
        <v>61</v>
      </c>
      <c r="K13" s="131"/>
      <c r="L13" s="62">
        <f ca="1">IF(COUNT(F13:J13)=0,"",SUM(F13:J13))</f>
        <v>0</v>
      </c>
      <c r="M13" s="132"/>
    </row>
    <row r="14" spans="2:14" x14ac:dyDescent="0.25">
      <c r="M14" s="20"/>
    </row>
    <row r="15" spans="2:14" x14ac:dyDescent="0.25">
      <c r="M15" s="20"/>
    </row>
    <row r="16" spans="2:14" x14ac:dyDescent="0.25">
      <c r="M16" s="20"/>
    </row>
    <row r="17" spans="2:13" ht="30" customHeight="1" thickBot="1" x14ac:dyDescent="0.3">
      <c r="B17" s="133" t="s">
        <v>62</v>
      </c>
      <c r="C17" s="133"/>
      <c r="D17" s="133"/>
      <c r="E17" s="133"/>
      <c r="F17" s="133"/>
      <c r="G17" s="133"/>
      <c r="H17" s="133"/>
      <c r="I17" s="133"/>
      <c r="J17" s="133"/>
      <c r="K17" s="133"/>
    </row>
    <row r="18" spans="2:13" ht="30" customHeight="1" thickBot="1" x14ac:dyDescent="0.3">
      <c r="B18" s="79">
        <v>2</v>
      </c>
      <c r="C18" s="105" t="str">
        <f ca="1">IF(ISBLANK(INDIRECT(ADDRESS(B18*2+2,3))),"",INDIRECT(ADDRESS(B18*2+2,3)))</f>
        <v>Деревянных Гелдиев</v>
      </c>
      <c r="D18" s="105"/>
      <c r="E18" s="106"/>
      <c r="F18" s="64">
        <v>1</v>
      </c>
      <c r="G18" s="65">
        <v>5</v>
      </c>
      <c r="H18" s="107" t="str">
        <f ca="1">IF(ISBLANK(INDIRECT(ADDRESS(K18*2+2,3))),"",INDIRECT(ADDRESS(K18*2+2,3)))</f>
        <v>Нечаев Борисенко</v>
      </c>
      <c r="I18" s="105"/>
      <c r="J18" s="105"/>
      <c r="K18" s="79">
        <v>5</v>
      </c>
      <c r="L18" s="66" t="s">
        <v>63</v>
      </c>
      <c r="M18" s="41"/>
    </row>
    <row r="19" spans="2:13" ht="30" customHeight="1" thickBot="1" x14ac:dyDescent="0.3">
      <c r="B19" s="79">
        <v>3</v>
      </c>
      <c r="C19" s="105" t="str">
        <f ca="1">IF(ISBLANK(INDIRECT(ADDRESS(B19*2+2,3))),"",INDIRECT(ADDRESS(B19*2+2,3)))</f>
        <v>Клименко Климанский</v>
      </c>
      <c r="D19" s="105"/>
      <c r="E19" s="106"/>
      <c r="F19" s="64">
        <v>8</v>
      </c>
      <c r="G19" s="65">
        <v>10</v>
      </c>
      <c r="H19" s="107" t="str">
        <f ca="1">IF(ISBLANK(INDIRECT(ADDRESS(K19*2+2,3))),"",INDIRECT(ADDRESS(K19*2+2,3)))</f>
        <v>Танчин Татьянц</v>
      </c>
      <c r="I19" s="105"/>
      <c r="J19" s="105"/>
      <c r="K19" s="79">
        <v>4</v>
      </c>
      <c r="L19" s="66" t="s">
        <v>63</v>
      </c>
      <c r="M19" s="41"/>
    </row>
    <row r="20" spans="2:13" ht="30" customHeight="1" x14ac:dyDescent="0.25">
      <c r="M20" s="79"/>
    </row>
    <row r="21" spans="2:13" ht="30" customHeight="1" thickBot="1" x14ac:dyDescent="0.3">
      <c r="B21" s="133" t="s">
        <v>64</v>
      </c>
      <c r="C21" s="133"/>
      <c r="D21" s="133"/>
      <c r="E21" s="133"/>
      <c r="F21" s="133"/>
      <c r="G21" s="133"/>
      <c r="H21" s="133"/>
      <c r="I21" s="133"/>
      <c r="J21" s="133"/>
      <c r="K21" s="133"/>
      <c r="M21" s="79"/>
    </row>
    <row r="22" spans="2:13" ht="30" customHeight="1" thickBot="1" x14ac:dyDescent="0.3">
      <c r="B22" s="79">
        <v>5</v>
      </c>
      <c r="C22" s="105" t="str">
        <f ca="1">IF(ISBLANK(INDIRECT(ADDRESS(B22*2+2,3))),"",INDIRECT(ADDRESS(B22*2+2,3)))</f>
        <v>Нечаев Борисенко</v>
      </c>
      <c r="D22" s="105"/>
      <c r="E22" s="106"/>
      <c r="F22" s="64">
        <v>9</v>
      </c>
      <c r="G22" s="65">
        <v>7</v>
      </c>
      <c r="H22" s="107" t="str">
        <f ca="1">IF(ISBLANK(INDIRECT(ADDRESS(K22*2+2,3))),"",INDIRECT(ADDRESS(K22*2+2,3)))</f>
        <v>Клименко Климанский</v>
      </c>
      <c r="I22" s="105"/>
      <c r="J22" s="105"/>
      <c r="K22" s="79">
        <v>3</v>
      </c>
      <c r="L22" s="66" t="s">
        <v>63</v>
      </c>
      <c r="M22" s="41"/>
    </row>
    <row r="23" spans="2:13" ht="30" customHeight="1" thickBot="1" x14ac:dyDescent="0.3">
      <c r="B23" s="79">
        <v>1</v>
      </c>
      <c r="C23" s="105" t="str">
        <f ca="1">IF(ISBLANK(INDIRECT(ADDRESS(B23*2+2,3))),"",INDIRECT(ADDRESS(B23*2+2,3)))</f>
        <v>Еремин Субанов</v>
      </c>
      <c r="D23" s="105"/>
      <c r="E23" s="106"/>
      <c r="F23" s="64">
        <v>10</v>
      </c>
      <c r="G23" s="65">
        <v>7</v>
      </c>
      <c r="H23" s="107" t="str">
        <f ca="1">IF(ISBLANK(INDIRECT(ADDRESS(K23*2+2,3))),"",INDIRECT(ADDRESS(K23*2+2,3)))</f>
        <v>Деревянных Гелдиев</v>
      </c>
      <c r="I23" s="105"/>
      <c r="J23" s="105"/>
      <c r="K23" s="79">
        <v>2</v>
      </c>
      <c r="L23" s="66" t="s">
        <v>63</v>
      </c>
      <c r="M23" s="41"/>
    </row>
    <row r="24" spans="2:13" ht="30" customHeight="1" x14ac:dyDescent="0.25">
      <c r="M24" s="79"/>
    </row>
    <row r="25" spans="2:13" ht="30" customHeight="1" thickBot="1" x14ac:dyDescent="0.3">
      <c r="B25" s="133" t="s">
        <v>65</v>
      </c>
      <c r="C25" s="133"/>
      <c r="D25" s="133"/>
      <c r="E25" s="133"/>
      <c r="F25" s="133"/>
      <c r="G25" s="133"/>
      <c r="H25" s="133"/>
      <c r="I25" s="133"/>
      <c r="J25" s="133"/>
      <c r="K25" s="133"/>
      <c r="M25" s="79"/>
    </row>
    <row r="26" spans="2:13" ht="30" customHeight="1" thickBot="1" x14ac:dyDescent="0.3">
      <c r="B26" s="79">
        <v>3</v>
      </c>
      <c r="C26" s="105" t="str">
        <f ca="1">IF(ISBLANK(INDIRECT(ADDRESS(B26*2+2,3))),"",INDIRECT(ADDRESS(B26*2+2,3)))</f>
        <v>Клименко Климанский</v>
      </c>
      <c r="D26" s="105"/>
      <c r="E26" s="106"/>
      <c r="F26" s="64">
        <v>7</v>
      </c>
      <c r="G26" s="65">
        <v>13</v>
      </c>
      <c r="H26" s="107" t="str">
        <f ca="1">IF(ISBLANK(INDIRECT(ADDRESS(K26*2+2,3))),"",INDIRECT(ADDRESS(K26*2+2,3)))</f>
        <v>Еремин Субанов</v>
      </c>
      <c r="I26" s="105"/>
      <c r="J26" s="105"/>
      <c r="K26" s="79">
        <v>1</v>
      </c>
      <c r="L26" s="66" t="s">
        <v>63</v>
      </c>
      <c r="M26" s="41"/>
    </row>
    <row r="27" spans="2:13" ht="30" customHeight="1" thickBot="1" x14ac:dyDescent="0.3">
      <c r="B27" s="79">
        <v>4</v>
      </c>
      <c r="C27" s="105" t="str">
        <f ca="1">IF(ISBLANK(INDIRECT(ADDRESS(B27*2+2,3))),"",INDIRECT(ADDRESS(B27*2+2,3)))</f>
        <v>Танчин Татьянц</v>
      </c>
      <c r="D27" s="105"/>
      <c r="E27" s="106"/>
      <c r="F27" s="64">
        <v>7</v>
      </c>
      <c r="G27" s="65">
        <v>8</v>
      </c>
      <c r="H27" s="107" t="str">
        <f ca="1">IF(ISBLANK(INDIRECT(ADDRESS(K27*2+2,3))),"",INDIRECT(ADDRESS(K27*2+2,3)))</f>
        <v>Нечаев Борисенко</v>
      </c>
      <c r="I27" s="105"/>
      <c r="J27" s="105"/>
      <c r="K27" s="79">
        <v>5</v>
      </c>
      <c r="L27" s="66" t="s">
        <v>63</v>
      </c>
      <c r="M27" s="41"/>
    </row>
    <row r="28" spans="2:13" ht="30" customHeight="1" x14ac:dyDescent="0.25">
      <c r="M28" s="79"/>
    </row>
    <row r="29" spans="2:13" ht="30" customHeight="1" thickBot="1" x14ac:dyDescent="0.3">
      <c r="B29" s="133" t="s">
        <v>66</v>
      </c>
      <c r="C29" s="133"/>
      <c r="D29" s="133"/>
      <c r="E29" s="133"/>
      <c r="F29" s="133"/>
      <c r="G29" s="133"/>
      <c r="H29" s="133"/>
      <c r="I29" s="133"/>
      <c r="J29" s="133"/>
      <c r="K29" s="133"/>
      <c r="M29" s="79"/>
    </row>
    <row r="30" spans="2:13" ht="30" customHeight="1" thickBot="1" x14ac:dyDescent="0.3">
      <c r="B30" s="79">
        <v>1</v>
      </c>
      <c r="C30" s="105" t="str">
        <f ca="1">IF(ISBLANK(INDIRECT(ADDRESS(B30*2+2,3))),"",INDIRECT(ADDRESS(B30*2+2,3)))</f>
        <v>Еремин Субанов</v>
      </c>
      <c r="D30" s="105"/>
      <c r="E30" s="106"/>
      <c r="F30" s="64">
        <v>13</v>
      </c>
      <c r="G30" s="65">
        <v>5</v>
      </c>
      <c r="H30" s="107" t="str">
        <f ca="1">IF(ISBLANK(INDIRECT(ADDRESS(K30*2+2,3))),"",INDIRECT(ADDRESS(K30*2+2,3)))</f>
        <v>Танчин Татьянц</v>
      </c>
      <c r="I30" s="105"/>
      <c r="J30" s="105"/>
      <c r="K30" s="79">
        <v>4</v>
      </c>
      <c r="L30" s="66" t="s">
        <v>63</v>
      </c>
      <c r="M30" s="41"/>
    </row>
    <row r="31" spans="2:13" ht="30" customHeight="1" thickBot="1" x14ac:dyDescent="0.3">
      <c r="B31" s="79">
        <v>2</v>
      </c>
      <c r="C31" s="105" t="str">
        <f ca="1">IF(ISBLANK(INDIRECT(ADDRESS(B31*2+2,3))),"",INDIRECT(ADDRESS(B31*2+2,3)))</f>
        <v>Деревянных Гелдиев</v>
      </c>
      <c r="D31" s="105"/>
      <c r="E31" s="106"/>
      <c r="F31" s="64">
        <v>12</v>
      </c>
      <c r="G31" s="65">
        <v>3</v>
      </c>
      <c r="H31" s="107" t="str">
        <f ca="1">IF(ISBLANK(INDIRECT(ADDRESS(K31*2+2,3))),"",INDIRECT(ADDRESS(K31*2+2,3)))</f>
        <v>Клименко Климанский</v>
      </c>
      <c r="I31" s="105"/>
      <c r="J31" s="105"/>
      <c r="K31" s="79">
        <v>3</v>
      </c>
      <c r="L31" s="66" t="s">
        <v>63</v>
      </c>
      <c r="M31" s="41"/>
    </row>
    <row r="32" spans="2:13" ht="30" customHeight="1" x14ac:dyDescent="0.25">
      <c r="M32" s="79"/>
    </row>
    <row r="33" spans="2:13" ht="30" customHeight="1" thickBot="1" x14ac:dyDescent="0.3">
      <c r="B33" s="133" t="s">
        <v>67</v>
      </c>
      <c r="C33" s="133"/>
      <c r="D33" s="133"/>
      <c r="E33" s="133"/>
      <c r="F33" s="133"/>
      <c r="G33" s="133"/>
      <c r="H33" s="133"/>
      <c r="I33" s="133"/>
      <c r="J33" s="133"/>
      <c r="K33" s="133"/>
      <c r="M33" s="79"/>
    </row>
    <row r="34" spans="2:13" ht="30" customHeight="1" thickBot="1" x14ac:dyDescent="0.3">
      <c r="B34" s="79">
        <v>4</v>
      </c>
      <c r="C34" s="105" t="str">
        <f ca="1">IF(ISBLANK(INDIRECT(ADDRESS(B34*2+2,3))),"",INDIRECT(ADDRESS(B34*2+2,3)))</f>
        <v>Танчин Татьянц</v>
      </c>
      <c r="D34" s="105"/>
      <c r="E34" s="106"/>
      <c r="F34" s="64">
        <v>12</v>
      </c>
      <c r="G34" s="65">
        <v>4</v>
      </c>
      <c r="H34" s="107" t="str">
        <f ca="1">IF(ISBLANK(INDIRECT(ADDRESS(K34*2+2,3))),"",INDIRECT(ADDRESS(K34*2+2,3)))</f>
        <v>Деревянных Гелдиев</v>
      </c>
      <c r="I34" s="105"/>
      <c r="J34" s="105"/>
      <c r="K34" s="79">
        <v>2</v>
      </c>
      <c r="L34" s="66" t="s">
        <v>63</v>
      </c>
      <c r="M34" s="41"/>
    </row>
    <row r="35" spans="2:13" ht="30" customHeight="1" thickBot="1" x14ac:dyDescent="0.3">
      <c r="B35" s="79">
        <v>5</v>
      </c>
      <c r="C35" s="105" t="str">
        <f ca="1">IF(ISBLANK(INDIRECT(ADDRESS(B35*2+2,3))),"",INDIRECT(ADDRESS(B35*2+2,3)))</f>
        <v>Нечаев Борисенко</v>
      </c>
      <c r="D35" s="105"/>
      <c r="E35" s="106"/>
      <c r="F35" s="64">
        <v>4</v>
      </c>
      <c r="G35" s="65">
        <v>11</v>
      </c>
      <c r="H35" s="107" t="str">
        <f ca="1">IF(ISBLANK(INDIRECT(ADDRESS(K35*2+2,3))),"",INDIRECT(ADDRESS(K35*2+2,3)))</f>
        <v>Еремин Субанов</v>
      </c>
      <c r="I35" s="105"/>
      <c r="J35" s="105"/>
      <c r="K35" s="79">
        <v>1</v>
      </c>
      <c r="L35" s="66" t="s">
        <v>63</v>
      </c>
      <c r="M35" s="41"/>
    </row>
  </sheetData>
  <mergeCells count="47">
    <mergeCell ref="C35:E35"/>
    <mergeCell ref="H35:J35"/>
    <mergeCell ref="C22:E22"/>
    <mergeCell ref="H22:J22"/>
    <mergeCell ref="B21:K21"/>
    <mergeCell ref="C26:E26"/>
    <mergeCell ref="H26:J26"/>
    <mergeCell ref="C23:E23"/>
    <mergeCell ref="H23:J23"/>
    <mergeCell ref="B25:K25"/>
    <mergeCell ref="B33:K33"/>
    <mergeCell ref="C34:E34"/>
    <mergeCell ref="H34:J34"/>
    <mergeCell ref="C27:E27"/>
    <mergeCell ref="H27:J27"/>
    <mergeCell ref="B29:K29"/>
    <mergeCell ref="B12:B13"/>
    <mergeCell ref="C12:E13"/>
    <mergeCell ref="K10:K11"/>
    <mergeCell ref="M10:M11"/>
    <mergeCell ref="K12:K13"/>
    <mergeCell ref="M12:M13"/>
    <mergeCell ref="M6:M7"/>
    <mergeCell ref="K8:K9"/>
    <mergeCell ref="M8:M9"/>
    <mergeCell ref="B10:B11"/>
    <mergeCell ref="C10:E11"/>
    <mergeCell ref="B6:B7"/>
    <mergeCell ref="C6:E7"/>
    <mergeCell ref="B8:B9"/>
    <mergeCell ref="C8:E9"/>
    <mergeCell ref="K6:K7"/>
    <mergeCell ref="B4:B5"/>
    <mergeCell ref="C4:E5"/>
    <mergeCell ref="B1:N1"/>
    <mergeCell ref="K4:K5"/>
    <mergeCell ref="M4:M5"/>
    <mergeCell ref="C30:E30"/>
    <mergeCell ref="H30:J30"/>
    <mergeCell ref="C31:E31"/>
    <mergeCell ref="H31:J31"/>
    <mergeCell ref="C3:E3"/>
    <mergeCell ref="B17:K17"/>
    <mergeCell ref="C18:E18"/>
    <mergeCell ref="H18:J18"/>
    <mergeCell ref="C19:E19"/>
    <mergeCell ref="H19:J19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Header>&amp;CРОО "Федерация спортивных дисциплин боулспорта Краснодарского края"&amp;R
1410001511Я
Новороссийск 16.03.25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M5" sqref="M5"/>
    </sheetView>
  </sheetViews>
  <sheetFormatPr defaultRowHeight="15" x14ac:dyDescent="0.25"/>
  <cols>
    <col min="1" max="1" width="4" style="41" customWidth="1"/>
    <col min="2" max="12" width="10.28515625" style="20" customWidth="1"/>
    <col min="13" max="13" width="10.28515625" style="40" customWidth="1"/>
    <col min="14" max="15" width="10.28515625" style="20" customWidth="1"/>
    <col min="16" max="16384" width="9.140625" style="20"/>
  </cols>
  <sheetData>
    <row r="1" spans="2:14" ht="59.25" customHeight="1" x14ac:dyDescent="0.4">
      <c r="B1" s="119" t="s">
        <v>73</v>
      </c>
      <c r="C1" s="120"/>
      <c r="D1" s="120"/>
      <c r="E1" s="120"/>
      <c r="F1" s="120"/>
      <c r="G1" s="120"/>
      <c r="H1" s="120"/>
      <c r="I1" s="120"/>
      <c r="J1" s="120"/>
      <c r="K1" s="120"/>
      <c r="L1" s="121"/>
      <c r="M1" s="121"/>
      <c r="N1" s="121"/>
    </row>
    <row r="2" spans="2:14" ht="15.75" thickBot="1" x14ac:dyDescent="0.3">
      <c r="M2" s="20"/>
    </row>
    <row r="3" spans="2:14" ht="30" customHeight="1" thickBot="1" x14ac:dyDescent="0.3">
      <c r="B3" s="42"/>
      <c r="C3" s="108" t="s">
        <v>57</v>
      </c>
      <c r="D3" s="109"/>
      <c r="E3" s="110"/>
      <c r="F3" s="43">
        <v>1</v>
      </c>
      <c r="G3" s="43">
        <v>2</v>
      </c>
      <c r="H3" s="43">
        <v>3</v>
      </c>
      <c r="I3" s="44">
        <v>4</v>
      </c>
      <c r="J3" s="44">
        <v>5</v>
      </c>
      <c r="K3" s="44">
        <v>6</v>
      </c>
      <c r="L3" s="45" t="s">
        <v>58</v>
      </c>
      <c r="M3" s="43" t="s">
        <v>59</v>
      </c>
      <c r="N3" s="46" t="s">
        <v>60</v>
      </c>
    </row>
    <row r="4" spans="2:14" ht="24" customHeight="1" x14ac:dyDescent="0.25">
      <c r="B4" s="111">
        <v>1</v>
      </c>
      <c r="C4" s="113" t="s">
        <v>90</v>
      </c>
      <c r="D4" s="114"/>
      <c r="E4" s="115"/>
      <c r="F4" s="47" t="s">
        <v>61</v>
      </c>
      <c r="G4" s="48" t="str">
        <f ca="1">INDIRECT(ADDRESS(27,6))&amp;":"&amp;INDIRECT(ADDRESS(27,7))</f>
        <v>9:8</v>
      </c>
      <c r="H4" s="94" t="str">
        <f ca="1">INDIRECT(ADDRESS(31,7))&amp;":"&amp;INDIRECT(ADDRESS(31,6))</f>
        <v>5:8</v>
      </c>
      <c r="I4" s="48" t="str">
        <f ca="1">INDIRECT(ADDRESS(36,6))&amp;":"&amp;INDIRECT(ADDRESS(36,7))</f>
        <v>5:8</v>
      </c>
      <c r="J4" s="48" t="str">
        <f ca="1">INDIRECT(ADDRESS(42,7))&amp;":"&amp;INDIRECT(ADDRESS(42,6))</f>
        <v>13:0</v>
      </c>
      <c r="K4" s="49" t="str">
        <f ca="1">INDIRECT(ADDRESS(20,6))&amp;":"&amp;INDIRECT(ADDRESS(20,7))</f>
        <v>5:13</v>
      </c>
      <c r="L4" s="136">
        <f ca="1">IF(COUNT(F5:K5)=0,"",COUNTIF(F5:K5,"&gt;0")+0.5*COUNTIF(F5:K5,0))</f>
        <v>2</v>
      </c>
      <c r="M4" s="50">
        <v>-3</v>
      </c>
      <c r="N4" s="134">
        <v>5</v>
      </c>
    </row>
    <row r="5" spans="2:14" ht="24" customHeight="1" x14ac:dyDescent="0.25">
      <c r="B5" s="112"/>
      <c r="C5" s="116"/>
      <c r="D5" s="117"/>
      <c r="E5" s="118"/>
      <c r="F5" s="51" t="s">
        <v>61</v>
      </c>
      <c r="G5" s="52">
        <f ca="1">IF(LEN(INDIRECT(ADDRESS(ROW()-1, COLUMN())))=1,"",INDIRECT(ADDRESS(27,6))-INDIRECT(ADDRESS(27,7)))</f>
        <v>1</v>
      </c>
      <c r="H5" s="95">
        <f ca="1">IF(LEN(INDIRECT(ADDRESS(ROW()-1, COLUMN())))=1,"",INDIRECT(ADDRESS(31,7))-INDIRECT(ADDRESS(31,6)))</f>
        <v>-3</v>
      </c>
      <c r="I5" s="52">
        <f ca="1">IF(LEN(INDIRECT(ADDRESS(ROW()-1, COLUMN())))=1,"",INDIRECT(ADDRESS(36,6))-INDIRECT(ADDRESS(36,7)))</f>
        <v>-3</v>
      </c>
      <c r="J5" s="52">
        <f ca="1">IF(LEN(INDIRECT(ADDRESS(ROW()-1, COLUMN())))=1,"",INDIRECT(ADDRESS(42,7))-INDIRECT(ADDRESS(42,6)))</f>
        <v>13</v>
      </c>
      <c r="K5" s="53">
        <f ca="1">IF(LEN(INDIRECT(ADDRESS(ROW()-1, COLUMN())))=1,"",INDIRECT(ADDRESS(20,6))-INDIRECT(ADDRESS(20,7)))</f>
        <v>-8</v>
      </c>
      <c r="L5" s="137"/>
      <c r="M5" s="52">
        <f ca="1">IF(COUNT(F5:K5)=0,"",SUM(F5:K5))</f>
        <v>0</v>
      </c>
      <c r="N5" s="135"/>
    </row>
    <row r="6" spans="2:14" ht="24" customHeight="1" x14ac:dyDescent="0.25">
      <c r="B6" s="126">
        <v>2</v>
      </c>
      <c r="C6" s="116" t="s">
        <v>91</v>
      </c>
      <c r="D6" s="117"/>
      <c r="E6" s="118"/>
      <c r="F6" s="54" t="str">
        <f ca="1">INDIRECT(ADDRESS(27,7))&amp;":"&amp;INDIRECT(ADDRESS(27,6))</f>
        <v>8:9</v>
      </c>
      <c r="G6" s="55" t="s">
        <v>61</v>
      </c>
      <c r="H6" s="56" t="str">
        <f ca="1">INDIRECT(ADDRESS(37,6))&amp;":"&amp;INDIRECT(ADDRESS(37,7))</f>
        <v>12:8</v>
      </c>
      <c r="I6" s="56" t="str">
        <f ca="1">INDIRECT(ADDRESS(41,7))&amp;":"&amp;INDIRECT(ADDRESS(41,6))</f>
        <v>5:12</v>
      </c>
      <c r="J6" s="56" t="str">
        <f ca="1">INDIRECT(ADDRESS(21,6))&amp;":"&amp;INDIRECT(ADDRESS(21,7))</f>
        <v>8:3</v>
      </c>
      <c r="K6" s="90" t="str">
        <f ca="1">INDIRECT(ADDRESS(30,6))&amp;":"&amp;INDIRECT(ADDRESS(30,7))</f>
        <v>10:7</v>
      </c>
      <c r="L6" s="137">
        <f ca="1">IF(COUNT(F7:K7)=0,"",COUNTIF(F7:K7,"&gt;0")+0.5*COUNTIF(F7:K7,0))</f>
        <v>3</v>
      </c>
      <c r="M6" s="52">
        <v>3</v>
      </c>
      <c r="N6" s="138">
        <v>2</v>
      </c>
    </row>
    <row r="7" spans="2:14" ht="24" customHeight="1" x14ac:dyDescent="0.25">
      <c r="B7" s="112"/>
      <c r="C7" s="116"/>
      <c r="D7" s="117"/>
      <c r="E7" s="118"/>
      <c r="F7" s="58">
        <f ca="1">IF(LEN(INDIRECT(ADDRESS(ROW()-1, COLUMN())))=1,"",INDIRECT(ADDRESS(27,7))-INDIRECT(ADDRESS(27,6)))</f>
        <v>-1</v>
      </c>
      <c r="G7" s="59" t="s">
        <v>61</v>
      </c>
      <c r="H7" s="52">
        <f ca="1">IF(LEN(INDIRECT(ADDRESS(ROW()-1, COLUMN())))=1,"",INDIRECT(ADDRESS(37,6))-INDIRECT(ADDRESS(37,7)))</f>
        <v>4</v>
      </c>
      <c r="I7" s="52">
        <f ca="1">IF(LEN(INDIRECT(ADDRESS(ROW()-1, COLUMN())))=1,"",INDIRECT(ADDRESS(41,7))-INDIRECT(ADDRESS(41,6)))</f>
        <v>-7</v>
      </c>
      <c r="J7" s="52">
        <f ca="1">IF(LEN(INDIRECT(ADDRESS(ROW()-1, COLUMN())))=1,"",INDIRECT(ADDRESS(21,6))-INDIRECT(ADDRESS(21,7)))</f>
        <v>5</v>
      </c>
      <c r="K7" s="91">
        <f ca="1">IF(LEN(INDIRECT(ADDRESS(ROW()-1, COLUMN())))=1,"",INDIRECT(ADDRESS(30,6))-INDIRECT(ADDRESS(30,7)))</f>
        <v>3</v>
      </c>
      <c r="L7" s="137"/>
      <c r="M7" s="52">
        <f ca="1">IF(COUNT(F7:K7)=0,"",SUM(F7:K7))</f>
        <v>4</v>
      </c>
      <c r="N7" s="135"/>
    </row>
    <row r="8" spans="2:14" ht="24" customHeight="1" x14ac:dyDescent="0.25">
      <c r="B8" s="126">
        <v>3</v>
      </c>
      <c r="C8" s="116" t="s">
        <v>92</v>
      </c>
      <c r="D8" s="117"/>
      <c r="E8" s="118"/>
      <c r="F8" s="96" t="str">
        <f ca="1">INDIRECT(ADDRESS(31,6))&amp;":"&amp;INDIRECT(ADDRESS(31,7))</f>
        <v>8:5</v>
      </c>
      <c r="G8" s="56" t="str">
        <f ca="1">INDIRECT(ADDRESS(37,7))&amp;":"&amp;INDIRECT(ADDRESS(37,6))</f>
        <v>8:12</v>
      </c>
      <c r="H8" s="55" t="s">
        <v>61</v>
      </c>
      <c r="I8" s="56" t="str">
        <f ca="1">INDIRECT(ADDRESS(22,6))&amp;":"&amp;INDIRECT(ADDRESS(22,7))</f>
        <v>2:13</v>
      </c>
      <c r="J8" s="56" t="str">
        <f ca="1">INDIRECT(ADDRESS(26,7))&amp;":"&amp;INDIRECT(ADDRESS(26,6))</f>
        <v>12:7</v>
      </c>
      <c r="K8" s="57" t="str">
        <f ca="1">INDIRECT(ADDRESS(40,6))&amp;":"&amp;INDIRECT(ADDRESS(40,7))</f>
        <v>1:13</v>
      </c>
      <c r="L8" s="137">
        <f ca="1">IF(COUNT(F9:K9)=0,"",COUNTIF(F9:K9,"&gt;0")+0.5*COUNTIF(F9:K9,0))</f>
        <v>2</v>
      </c>
      <c r="M8" s="52">
        <v>3</v>
      </c>
      <c r="N8" s="138">
        <v>4</v>
      </c>
    </row>
    <row r="9" spans="2:14" ht="24" customHeight="1" x14ac:dyDescent="0.25">
      <c r="B9" s="112"/>
      <c r="C9" s="116"/>
      <c r="D9" s="117"/>
      <c r="E9" s="118"/>
      <c r="F9" s="97">
        <f ca="1">IF(LEN(INDIRECT(ADDRESS(ROW()-1, COLUMN())))=1,"",INDIRECT(ADDRESS(31,6))-INDIRECT(ADDRESS(31,7)))</f>
        <v>3</v>
      </c>
      <c r="G9" s="52">
        <f ca="1">IF(LEN(INDIRECT(ADDRESS(ROW()-1, COLUMN())))=1,"",INDIRECT(ADDRESS(37,7))-INDIRECT(ADDRESS(37,6)))</f>
        <v>-4</v>
      </c>
      <c r="H9" s="59" t="s">
        <v>61</v>
      </c>
      <c r="I9" s="52">
        <f ca="1">IF(LEN(INDIRECT(ADDRESS(ROW()-1, COLUMN())))=1,"",INDIRECT(ADDRESS(22,6))-INDIRECT(ADDRESS(22,7)))</f>
        <v>-11</v>
      </c>
      <c r="J9" s="52">
        <f ca="1">IF(LEN(INDIRECT(ADDRESS(ROW()-1, COLUMN())))=1,"",INDIRECT(ADDRESS(26,7))-INDIRECT(ADDRESS(26,6)))</f>
        <v>5</v>
      </c>
      <c r="K9" s="53">
        <f ca="1">IF(LEN(INDIRECT(ADDRESS(ROW()-1, COLUMN())))=1,"",INDIRECT(ADDRESS(40,6))-INDIRECT(ADDRESS(40,7)))</f>
        <v>-12</v>
      </c>
      <c r="L9" s="137"/>
      <c r="M9" s="52">
        <f ca="1">IF(COUNT(F9:K9)=0,"",SUM(F9:K9))</f>
        <v>-19</v>
      </c>
      <c r="N9" s="135"/>
    </row>
    <row r="10" spans="2:14" ht="24" customHeight="1" x14ac:dyDescent="0.25">
      <c r="B10" s="126">
        <v>4</v>
      </c>
      <c r="C10" s="116" t="s">
        <v>93</v>
      </c>
      <c r="D10" s="117"/>
      <c r="E10" s="118"/>
      <c r="F10" s="54" t="str">
        <f ca="1">INDIRECT(ADDRESS(36,7))&amp;":"&amp;INDIRECT(ADDRESS(36,6))</f>
        <v>8:5</v>
      </c>
      <c r="G10" s="56" t="str">
        <f ca="1">INDIRECT(ADDRESS(41,6))&amp;":"&amp;INDIRECT(ADDRESS(41,7))</f>
        <v>12:5</v>
      </c>
      <c r="H10" s="56" t="str">
        <f ca="1">INDIRECT(ADDRESS(22,7))&amp;":"&amp;INDIRECT(ADDRESS(22,6))</f>
        <v>13:2</v>
      </c>
      <c r="I10" s="55" t="s">
        <v>61</v>
      </c>
      <c r="J10" s="56" t="str">
        <f ca="1">INDIRECT(ADDRESS(32,6))&amp;":"&amp;INDIRECT(ADDRESS(32,7))</f>
        <v>8:9</v>
      </c>
      <c r="K10" s="57" t="str">
        <f ca="1">INDIRECT(ADDRESS(25,7))&amp;":"&amp;INDIRECT(ADDRESS(25,6))</f>
        <v>13:1</v>
      </c>
      <c r="L10" s="137">
        <f ca="1">IF(COUNT(F11:K11)=0,"",COUNTIF(F11:K11,"&gt;0")+0.5*COUNTIF(F11:K11,0))</f>
        <v>4</v>
      </c>
      <c r="M10" s="52"/>
      <c r="N10" s="138">
        <v>1</v>
      </c>
    </row>
    <row r="11" spans="2:14" ht="24" customHeight="1" x14ac:dyDescent="0.25">
      <c r="B11" s="112"/>
      <c r="C11" s="116"/>
      <c r="D11" s="117"/>
      <c r="E11" s="118"/>
      <c r="F11" s="58">
        <f ca="1">IF(LEN(INDIRECT(ADDRESS(ROW()-1, COLUMN())))=1,"",INDIRECT(ADDRESS(36,7))-INDIRECT(ADDRESS(36,6)))</f>
        <v>3</v>
      </c>
      <c r="G11" s="52">
        <f ca="1">IF(LEN(INDIRECT(ADDRESS(ROW()-1, COLUMN())))=1,"",INDIRECT(ADDRESS(41,6))-INDIRECT(ADDRESS(41,7)))</f>
        <v>7</v>
      </c>
      <c r="H11" s="52">
        <f ca="1">IF(LEN(INDIRECT(ADDRESS(ROW()-1, COLUMN())))=1,"",INDIRECT(ADDRESS(22,7))-INDIRECT(ADDRESS(22,6)))</f>
        <v>11</v>
      </c>
      <c r="I11" s="59" t="s">
        <v>61</v>
      </c>
      <c r="J11" s="52">
        <f ca="1">IF(LEN(INDIRECT(ADDRESS(ROW()-1, COLUMN())))=1,"",INDIRECT(ADDRESS(32,6))-INDIRECT(ADDRESS(32,7)))</f>
        <v>-1</v>
      </c>
      <c r="K11" s="53">
        <f ca="1">IF(LEN(INDIRECT(ADDRESS(ROW()-1, COLUMN())))=1,"",INDIRECT(ADDRESS(25,7))-INDIRECT(ADDRESS(25,6)))</f>
        <v>12</v>
      </c>
      <c r="L11" s="137"/>
      <c r="M11" s="52">
        <f ca="1">IF(COUNT(F11:K11)=0,"",SUM(F11:K11))</f>
        <v>32</v>
      </c>
      <c r="N11" s="135"/>
    </row>
    <row r="12" spans="2:14" ht="24" customHeight="1" x14ac:dyDescent="0.25">
      <c r="B12" s="126">
        <v>5</v>
      </c>
      <c r="C12" s="116" t="s">
        <v>94</v>
      </c>
      <c r="D12" s="117"/>
      <c r="E12" s="118"/>
      <c r="F12" s="54" t="str">
        <f ca="1">INDIRECT(ADDRESS(42,6))&amp;":"&amp;INDIRECT(ADDRESS(42,7))</f>
        <v>0:13</v>
      </c>
      <c r="G12" s="56" t="str">
        <f ca="1">INDIRECT(ADDRESS(21,7))&amp;":"&amp;INDIRECT(ADDRESS(21,6))</f>
        <v>3:8</v>
      </c>
      <c r="H12" s="56" t="str">
        <f ca="1">INDIRECT(ADDRESS(26,6))&amp;":"&amp;INDIRECT(ADDRESS(26,7))</f>
        <v>7:12</v>
      </c>
      <c r="I12" s="56" t="str">
        <f ca="1">INDIRECT(ADDRESS(32,7))&amp;":"&amp;INDIRECT(ADDRESS(32,6))</f>
        <v>9:8</v>
      </c>
      <c r="J12" s="55" t="s">
        <v>61</v>
      </c>
      <c r="K12" s="57" t="str">
        <f ca="1">INDIRECT(ADDRESS(35,7))&amp;":"&amp;INDIRECT(ADDRESS(35,6))</f>
        <v>6:9</v>
      </c>
      <c r="L12" s="137">
        <f ca="1">IF(COUNT(F13:K13)=0,"",COUNTIF(F13:K13,"&gt;0")+0.5*COUNTIF(F13:K13,0))</f>
        <v>1</v>
      </c>
      <c r="M12" s="52"/>
      <c r="N12" s="138">
        <v>6</v>
      </c>
    </row>
    <row r="13" spans="2:14" ht="24" customHeight="1" x14ac:dyDescent="0.25">
      <c r="B13" s="112"/>
      <c r="C13" s="116"/>
      <c r="D13" s="117"/>
      <c r="E13" s="118"/>
      <c r="F13" s="58">
        <f ca="1">IF(LEN(INDIRECT(ADDRESS(ROW()-1, COLUMN())))=1,"",INDIRECT(ADDRESS(42,6))-INDIRECT(ADDRESS(42,7)))</f>
        <v>-13</v>
      </c>
      <c r="G13" s="52">
        <f ca="1">IF(LEN(INDIRECT(ADDRESS(ROW()-1, COLUMN())))=1,"",INDIRECT(ADDRESS(21,7))-INDIRECT(ADDRESS(21,6)))</f>
        <v>-5</v>
      </c>
      <c r="H13" s="52">
        <f ca="1">IF(LEN(INDIRECT(ADDRESS(ROW()-1, COLUMN())))=1,"",INDIRECT(ADDRESS(26,6))-INDIRECT(ADDRESS(26,7)))</f>
        <v>-5</v>
      </c>
      <c r="I13" s="52">
        <f ca="1">IF(LEN(INDIRECT(ADDRESS(ROW()-1, COLUMN())))=1,"",INDIRECT(ADDRESS(32,7))-INDIRECT(ADDRESS(32,6)))</f>
        <v>1</v>
      </c>
      <c r="J13" s="59" t="s">
        <v>61</v>
      </c>
      <c r="K13" s="53">
        <f ca="1">IF(LEN(INDIRECT(ADDRESS(ROW()-1, COLUMN())))=1,"",INDIRECT(ADDRESS(35,7))-INDIRECT(ADDRESS(35,6)))</f>
        <v>-3</v>
      </c>
      <c r="L13" s="137"/>
      <c r="M13" s="52">
        <f ca="1">IF(COUNT(F13:K13)=0,"",SUM(F13:K13))</f>
        <v>-25</v>
      </c>
      <c r="N13" s="135"/>
    </row>
    <row r="14" spans="2:14" ht="24" customHeight="1" x14ac:dyDescent="0.25">
      <c r="B14" s="126">
        <v>6</v>
      </c>
      <c r="C14" s="116" t="s">
        <v>95</v>
      </c>
      <c r="D14" s="117"/>
      <c r="E14" s="118"/>
      <c r="F14" s="54" t="str">
        <f ca="1">INDIRECT(ADDRESS(20,7))&amp;":"&amp;INDIRECT(ADDRESS(20,6))</f>
        <v>13:5</v>
      </c>
      <c r="G14" s="92" t="str">
        <f ca="1">INDIRECT(ADDRESS(30,7))&amp;":"&amp;INDIRECT(ADDRESS(30,6))</f>
        <v>7:10</v>
      </c>
      <c r="H14" s="56" t="str">
        <f ca="1">INDIRECT(ADDRESS(40,7))&amp;":"&amp;INDIRECT(ADDRESS(40,6))</f>
        <v>13:1</v>
      </c>
      <c r="I14" s="56" t="str">
        <f ca="1">INDIRECT(ADDRESS(25,6))&amp;":"&amp;INDIRECT(ADDRESS(25,7))</f>
        <v>1:13</v>
      </c>
      <c r="J14" s="56" t="str">
        <f ca="1">INDIRECT(ADDRESS(35,6))&amp;":"&amp;INDIRECT(ADDRESS(35,7))</f>
        <v>9:6</v>
      </c>
      <c r="K14" s="60" t="s">
        <v>61</v>
      </c>
      <c r="L14" s="137">
        <f ca="1">IF(COUNT(F15:K15)=0,"",COUNTIF(F15:K15,"&gt;0")+0.5*COUNTIF(F15:K15,0))</f>
        <v>3</v>
      </c>
      <c r="M14" s="52">
        <v>-3</v>
      </c>
      <c r="N14" s="138">
        <v>3</v>
      </c>
    </row>
    <row r="15" spans="2:14" ht="24" customHeight="1" thickBot="1" x14ac:dyDescent="0.3">
      <c r="B15" s="127"/>
      <c r="C15" s="128"/>
      <c r="D15" s="129"/>
      <c r="E15" s="130"/>
      <c r="F15" s="61">
        <f ca="1">IF(LEN(INDIRECT(ADDRESS(ROW()-1, COLUMN())))=1,"",INDIRECT(ADDRESS(20,7))-INDIRECT(ADDRESS(20,6)))</f>
        <v>8</v>
      </c>
      <c r="G15" s="93">
        <f ca="1">IF(LEN(INDIRECT(ADDRESS(ROW()-1, COLUMN())))=1,"",INDIRECT(ADDRESS(30,7))-INDIRECT(ADDRESS(30,6)))</f>
        <v>-3</v>
      </c>
      <c r="H15" s="62">
        <f ca="1">IF(LEN(INDIRECT(ADDRESS(ROW()-1, COLUMN())))=1,"",INDIRECT(ADDRESS(40,7))-INDIRECT(ADDRESS(40,6)))</f>
        <v>12</v>
      </c>
      <c r="I15" s="62">
        <f ca="1">IF(LEN(INDIRECT(ADDRESS(ROW()-1, COLUMN())))=1,"",INDIRECT(ADDRESS(25,6))-INDIRECT(ADDRESS(25,7)))</f>
        <v>-12</v>
      </c>
      <c r="J15" s="62">
        <f ca="1">IF(LEN(INDIRECT(ADDRESS(ROW()-1, COLUMN())))=1,"",INDIRECT(ADDRESS(35,6))-INDIRECT(ADDRESS(35,7)))</f>
        <v>3</v>
      </c>
      <c r="K15" s="63" t="s">
        <v>61</v>
      </c>
      <c r="L15" s="140"/>
      <c r="M15" s="62">
        <f ca="1">IF(COUNT(F15:K15)=0,"",SUM(F15:K15))</f>
        <v>8</v>
      </c>
      <c r="N15" s="139"/>
    </row>
    <row r="16" spans="2:14" x14ac:dyDescent="0.25">
      <c r="M16" s="20"/>
    </row>
    <row r="17" spans="2:13" x14ac:dyDescent="0.25">
      <c r="M17" s="20"/>
    </row>
    <row r="18" spans="2:13" x14ac:dyDescent="0.25">
      <c r="M18" s="20"/>
    </row>
    <row r="19" spans="2:13" ht="30" customHeight="1" thickBot="1" x14ac:dyDescent="0.3">
      <c r="B19" s="133" t="s">
        <v>62</v>
      </c>
      <c r="C19" s="133"/>
      <c r="D19" s="133"/>
      <c r="E19" s="133"/>
      <c r="F19" s="133"/>
      <c r="G19" s="133"/>
      <c r="H19" s="133"/>
      <c r="I19" s="133"/>
      <c r="J19" s="133"/>
      <c r="K19" s="133"/>
      <c r="M19" s="20"/>
    </row>
    <row r="20" spans="2:13" ht="30" customHeight="1" thickBot="1" x14ac:dyDescent="0.3">
      <c r="B20" s="39">
        <v>1</v>
      </c>
      <c r="C20" s="105" t="str">
        <f ca="1">IF(ISBLANK(INDIRECT(ADDRESS(B20*2+2,3))),"",INDIRECT(ADDRESS(B20*2+2,3)))</f>
        <v>Коржов Соколовский</v>
      </c>
      <c r="D20" s="105"/>
      <c r="E20" s="106"/>
      <c r="F20" s="88">
        <v>5</v>
      </c>
      <c r="G20" s="89">
        <v>13</v>
      </c>
      <c r="H20" s="107" t="str">
        <f ca="1">IF(ISBLANK(INDIRECT(ADDRESS(K20*2+2,3))),"",INDIRECT(ADDRESS(K20*2+2,3)))</f>
        <v>Изместьев Викторов</v>
      </c>
      <c r="I20" s="105"/>
      <c r="J20" s="105"/>
      <c r="K20" s="39">
        <v>6</v>
      </c>
      <c r="L20" s="66" t="s">
        <v>63</v>
      </c>
      <c r="M20" s="67"/>
    </row>
    <row r="21" spans="2:13" ht="30" customHeight="1" thickBot="1" x14ac:dyDescent="0.3">
      <c r="B21" s="39">
        <v>2</v>
      </c>
      <c r="C21" s="105" t="str">
        <f ca="1">IF(ISBLANK(INDIRECT(ADDRESS(B21*2+2,3))),"",INDIRECT(ADDRESS(B21*2+2,3)))</f>
        <v>Пищанский Валибуз</v>
      </c>
      <c r="D21" s="105"/>
      <c r="E21" s="106"/>
      <c r="F21" s="88">
        <v>8</v>
      </c>
      <c r="G21" s="89">
        <v>3</v>
      </c>
      <c r="H21" s="107" t="str">
        <f ca="1">IF(ISBLANK(INDIRECT(ADDRESS(K21*2+2,3))),"",INDIRECT(ADDRESS(K21*2+2,3)))</f>
        <v>Нечепуренко</v>
      </c>
      <c r="I21" s="105"/>
      <c r="J21" s="105"/>
      <c r="K21" s="39">
        <v>5</v>
      </c>
      <c r="L21" s="66" t="s">
        <v>63</v>
      </c>
      <c r="M21" s="67"/>
    </row>
    <row r="22" spans="2:13" ht="30" customHeight="1" thickBot="1" x14ac:dyDescent="0.3">
      <c r="B22" s="39">
        <v>3</v>
      </c>
      <c r="C22" s="105" t="str">
        <f ca="1">IF(ISBLANK(INDIRECT(ADDRESS(B22*2+2,3))),"",INDIRECT(ADDRESS(B22*2+2,3)))</f>
        <v>Помазан Шустваль</v>
      </c>
      <c r="D22" s="105"/>
      <c r="E22" s="106"/>
      <c r="F22" s="88">
        <v>2</v>
      </c>
      <c r="G22" s="89">
        <v>13</v>
      </c>
      <c r="H22" s="107" t="str">
        <f ca="1">IF(ISBLANK(INDIRECT(ADDRESS(K22*2+2,3))),"",INDIRECT(ADDRESS(K22*2+2,3)))</f>
        <v>Чугунов Малов</v>
      </c>
      <c r="I22" s="105"/>
      <c r="J22" s="105"/>
      <c r="K22" s="39">
        <v>4</v>
      </c>
      <c r="L22" s="66" t="s">
        <v>63</v>
      </c>
      <c r="M22" s="67"/>
    </row>
    <row r="23" spans="2:13" ht="30" customHeight="1" x14ac:dyDescent="0.25"/>
    <row r="24" spans="2:13" ht="30" customHeight="1" thickBot="1" x14ac:dyDescent="0.3">
      <c r="B24" s="133" t="s">
        <v>64</v>
      </c>
      <c r="C24" s="133"/>
      <c r="D24" s="133"/>
      <c r="E24" s="133"/>
      <c r="F24" s="133"/>
      <c r="G24" s="133"/>
      <c r="H24" s="133"/>
      <c r="I24" s="133"/>
      <c r="J24" s="133"/>
      <c r="K24" s="133"/>
    </row>
    <row r="25" spans="2:13" ht="30" customHeight="1" thickBot="1" x14ac:dyDescent="0.3">
      <c r="B25" s="39">
        <v>6</v>
      </c>
      <c r="C25" s="105" t="str">
        <f ca="1">IF(ISBLANK(INDIRECT(ADDRESS(B25*2+2,3))),"",INDIRECT(ADDRESS(B25*2+2,3)))</f>
        <v>Изместьев Викторов</v>
      </c>
      <c r="D25" s="105"/>
      <c r="E25" s="106"/>
      <c r="F25" s="88">
        <v>1</v>
      </c>
      <c r="G25" s="89">
        <v>13</v>
      </c>
      <c r="H25" s="107" t="str">
        <f ca="1">IF(ISBLANK(INDIRECT(ADDRESS(K25*2+2,3))),"",INDIRECT(ADDRESS(K25*2+2,3)))</f>
        <v>Чугунов Малов</v>
      </c>
      <c r="I25" s="105"/>
      <c r="J25" s="105"/>
      <c r="K25" s="39">
        <v>4</v>
      </c>
      <c r="L25" s="66" t="s">
        <v>63</v>
      </c>
      <c r="M25" s="67"/>
    </row>
    <row r="26" spans="2:13" ht="30" customHeight="1" thickBot="1" x14ac:dyDescent="0.3">
      <c r="B26" s="39">
        <v>5</v>
      </c>
      <c r="C26" s="105" t="str">
        <f ca="1">IF(ISBLANK(INDIRECT(ADDRESS(B26*2+2,3))),"",INDIRECT(ADDRESS(B26*2+2,3)))</f>
        <v>Нечепуренко</v>
      </c>
      <c r="D26" s="105"/>
      <c r="E26" s="106"/>
      <c r="F26" s="88">
        <v>7</v>
      </c>
      <c r="G26" s="89">
        <v>12</v>
      </c>
      <c r="H26" s="107" t="str">
        <f ca="1">IF(ISBLANK(INDIRECT(ADDRESS(K26*2+2,3))),"",INDIRECT(ADDRESS(K26*2+2,3)))</f>
        <v>Помазан Шустваль</v>
      </c>
      <c r="I26" s="105"/>
      <c r="J26" s="105"/>
      <c r="K26" s="39">
        <v>3</v>
      </c>
      <c r="L26" s="66" t="s">
        <v>63</v>
      </c>
      <c r="M26" s="67"/>
    </row>
    <row r="27" spans="2:13" ht="30" customHeight="1" thickBot="1" x14ac:dyDescent="0.3">
      <c r="B27" s="39">
        <v>1</v>
      </c>
      <c r="C27" s="105" t="str">
        <f ca="1">IF(ISBLANK(INDIRECT(ADDRESS(B27*2+2,3))),"",INDIRECT(ADDRESS(B27*2+2,3)))</f>
        <v>Коржов Соколовский</v>
      </c>
      <c r="D27" s="105"/>
      <c r="E27" s="106"/>
      <c r="F27" s="88">
        <v>9</v>
      </c>
      <c r="G27" s="89">
        <v>8</v>
      </c>
      <c r="H27" s="107" t="str">
        <f ca="1">IF(ISBLANK(INDIRECT(ADDRESS(K27*2+2,3))),"",INDIRECT(ADDRESS(K27*2+2,3)))</f>
        <v>Пищанский Валибуз</v>
      </c>
      <c r="I27" s="105"/>
      <c r="J27" s="105"/>
      <c r="K27" s="39">
        <v>2</v>
      </c>
      <c r="L27" s="66" t="s">
        <v>63</v>
      </c>
      <c r="M27" s="67"/>
    </row>
    <row r="28" spans="2:13" ht="30" customHeight="1" x14ac:dyDescent="0.25"/>
    <row r="29" spans="2:13" ht="30" customHeight="1" thickBot="1" x14ac:dyDescent="0.3">
      <c r="B29" s="133" t="s">
        <v>65</v>
      </c>
      <c r="C29" s="133"/>
      <c r="D29" s="133"/>
      <c r="E29" s="133"/>
      <c r="F29" s="133"/>
      <c r="G29" s="133"/>
      <c r="H29" s="133"/>
      <c r="I29" s="133"/>
      <c r="J29" s="133"/>
      <c r="K29" s="133"/>
    </row>
    <row r="30" spans="2:13" ht="30" customHeight="1" thickBot="1" x14ac:dyDescent="0.3">
      <c r="B30" s="39">
        <v>2</v>
      </c>
      <c r="C30" s="105" t="str">
        <f ca="1">IF(ISBLANK(INDIRECT(ADDRESS(B30*2+2,3))),"",INDIRECT(ADDRESS(B30*2+2,3)))</f>
        <v>Пищанский Валибуз</v>
      </c>
      <c r="D30" s="105"/>
      <c r="E30" s="106"/>
      <c r="F30" s="88">
        <v>10</v>
      </c>
      <c r="G30" s="89">
        <v>7</v>
      </c>
      <c r="H30" s="107" t="str">
        <f ca="1">IF(ISBLANK(INDIRECT(ADDRESS(K30*2+2,3))),"",INDIRECT(ADDRESS(K30*2+2,3)))</f>
        <v>Изместьев Викторов</v>
      </c>
      <c r="I30" s="105"/>
      <c r="J30" s="105"/>
      <c r="K30" s="39">
        <v>6</v>
      </c>
      <c r="L30" s="66" t="s">
        <v>63</v>
      </c>
      <c r="M30" s="67"/>
    </row>
    <row r="31" spans="2:13" ht="30" customHeight="1" thickBot="1" x14ac:dyDescent="0.3">
      <c r="B31" s="39">
        <v>3</v>
      </c>
      <c r="C31" s="105" t="str">
        <f ca="1">IF(ISBLANK(INDIRECT(ADDRESS(B31*2+2,3))),"",INDIRECT(ADDRESS(B31*2+2,3)))</f>
        <v>Помазан Шустваль</v>
      </c>
      <c r="D31" s="105"/>
      <c r="E31" s="106"/>
      <c r="F31" s="88">
        <v>8</v>
      </c>
      <c r="G31" s="89">
        <v>5</v>
      </c>
      <c r="H31" s="107" t="str">
        <f ca="1">IF(ISBLANK(INDIRECT(ADDRESS(K31*2+2,3))),"",INDIRECT(ADDRESS(K31*2+2,3)))</f>
        <v>Коржов Соколовский</v>
      </c>
      <c r="I31" s="105"/>
      <c r="J31" s="105"/>
      <c r="K31" s="39">
        <v>1</v>
      </c>
      <c r="L31" s="66" t="s">
        <v>63</v>
      </c>
      <c r="M31" s="67"/>
    </row>
    <row r="32" spans="2:13" ht="30" customHeight="1" thickBot="1" x14ac:dyDescent="0.3">
      <c r="B32" s="39">
        <v>4</v>
      </c>
      <c r="C32" s="105" t="str">
        <f ca="1">IF(ISBLANK(INDIRECT(ADDRESS(B32*2+2,3))),"",INDIRECT(ADDRESS(B32*2+2,3)))</f>
        <v>Чугунов Малов</v>
      </c>
      <c r="D32" s="105"/>
      <c r="E32" s="106"/>
      <c r="F32" s="88">
        <v>8</v>
      </c>
      <c r="G32" s="89">
        <v>9</v>
      </c>
      <c r="H32" s="107" t="str">
        <f ca="1">IF(ISBLANK(INDIRECT(ADDRESS(K32*2+2,3))),"",INDIRECT(ADDRESS(K32*2+2,3)))</f>
        <v>Нечепуренко</v>
      </c>
      <c r="I32" s="105"/>
      <c r="J32" s="105"/>
      <c r="K32" s="39">
        <v>5</v>
      </c>
      <c r="L32" s="66" t="s">
        <v>63</v>
      </c>
      <c r="M32" s="67"/>
    </row>
    <row r="33" spans="2:13" ht="30" customHeight="1" x14ac:dyDescent="0.25"/>
    <row r="34" spans="2:13" ht="30" customHeight="1" thickBot="1" x14ac:dyDescent="0.3">
      <c r="B34" s="133" t="s">
        <v>66</v>
      </c>
      <c r="C34" s="133"/>
      <c r="D34" s="133"/>
      <c r="E34" s="133"/>
      <c r="F34" s="133"/>
      <c r="G34" s="133"/>
      <c r="H34" s="133"/>
      <c r="I34" s="133"/>
      <c r="J34" s="133"/>
      <c r="K34" s="133"/>
    </row>
    <row r="35" spans="2:13" ht="30" customHeight="1" thickBot="1" x14ac:dyDescent="0.3">
      <c r="B35" s="39">
        <v>6</v>
      </c>
      <c r="C35" s="105" t="str">
        <f ca="1">IF(ISBLANK(INDIRECT(ADDRESS(B35*2+2,3))),"",INDIRECT(ADDRESS(B35*2+2,3)))</f>
        <v>Изместьев Викторов</v>
      </c>
      <c r="D35" s="105"/>
      <c r="E35" s="106"/>
      <c r="F35" s="88">
        <v>9</v>
      </c>
      <c r="G35" s="89">
        <v>6</v>
      </c>
      <c r="H35" s="107" t="str">
        <f ca="1">IF(ISBLANK(INDIRECT(ADDRESS(K35*2+2,3))),"",INDIRECT(ADDRESS(K35*2+2,3)))</f>
        <v>Нечепуренко</v>
      </c>
      <c r="I35" s="105"/>
      <c r="J35" s="105"/>
      <c r="K35" s="39">
        <v>5</v>
      </c>
      <c r="L35" s="66" t="s">
        <v>63</v>
      </c>
      <c r="M35" s="67"/>
    </row>
    <row r="36" spans="2:13" ht="30" customHeight="1" thickBot="1" x14ac:dyDescent="0.3">
      <c r="B36" s="39">
        <v>1</v>
      </c>
      <c r="C36" s="105" t="str">
        <f ca="1">IF(ISBLANK(INDIRECT(ADDRESS(B36*2+2,3))),"",INDIRECT(ADDRESS(B36*2+2,3)))</f>
        <v>Коржов Соколовский</v>
      </c>
      <c r="D36" s="105"/>
      <c r="E36" s="106"/>
      <c r="F36" s="88">
        <v>5</v>
      </c>
      <c r="G36" s="89">
        <v>8</v>
      </c>
      <c r="H36" s="107" t="str">
        <f ca="1">IF(ISBLANK(INDIRECT(ADDRESS(K36*2+2,3))),"",INDIRECT(ADDRESS(K36*2+2,3)))</f>
        <v>Чугунов Малов</v>
      </c>
      <c r="I36" s="105"/>
      <c r="J36" s="105"/>
      <c r="K36" s="39">
        <v>4</v>
      </c>
      <c r="L36" s="66" t="s">
        <v>63</v>
      </c>
      <c r="M36" s="67"/>
    </row>
    <row r="37" spans="2:13" ht="30" customHeight="1" thickBot="1" x14ac:dyDescent="0.3">
      <c r="B37" s="39">
        <v>2</v>
      </c>
      <c r="C37" s="105" t="str">
        <f ca="1">IF(ISBLANK(INDIRECT(ADDRESS(B37*2+2,3))),"",INDIRECT(ADDRESS(B37*2+2,3)))</f>
        <v>Пищанский Валибуз</v>
      </c>
      <c r="D37" s="105"/>
      <c r="E37" s="106"/>
      <c r="F37" s="88">
        <v>12</v>
      </c>
      <c r="G37" s="89">
        <v>8</v>
      </c>
      <c r="H37" s="107" t="str">
        <f ca="1">IF(ISBLANK(INDIRECT(ADDRESS(K37*2+2,3))),"",INDIRECT(ADDRESS(K37*2+2,3)))</f>
        <v>Помазан Шустваль</v>
      </c>
      <c r="I37" s="105"/>
      <c r="J37" s="105"/>
      <c r="K37" s="39">
        <v>3</v>
      </c>
      <c r="L37" s="66" t="s">
        <v>63</v>
      </c>
      <c r="M37" s="67"/>
    </row>
    <row r="38" spans="2:13" ht="30" customHeight="1" x14ac:dyDescent="0.25"/>
    <row r="39" spans="2:13" ht="30" customHeight="1" thickBot="1" x14ac:dyDescent="0.3">
      <c r="B39" s="133" t="s">
        <v>67</v>
      </c>
      <c r="C39" s="133"/>
      <c r="D39" s="133"/>
      <c r="E39" s="133"/>
      <c r="F39" s="133"/>
      <c r="G39" s="133"/>
      <c r="H39" s="133"/>
      <c r="I39" s="133"/>
      <c r="J39" s="133"/>
      <c r="K39" s="133"/>
    </row>
    <row r="40" spans="2:13" ht="30" customHeight="1" thickBot="1" x14ac:dyDescent="0.3">
      <c r="B40" s="39">
        <v>3</v>
      </c>
      <c r="C40" s="105" t="str">
        <f ca="1">IF(ISBLANK(INDIRECT(ADDRESS(B40*2+2,3))),"",INDIRECT(ADDRESS(B40*2+2,3)))</f>
        <v>Помазан Шустваль</v>
      </c>
      <c r="D40" s="105"/>
      <c r="E40" s="106"/>
      <c r="F40" s="88">
        <v>1</v>
      </c>
      <c r="G40" s="89">
        <v>13</v>
      </c>
      <c r="H40" s="107" t="str">
        <f ca="1">IF(ISBLANK(INDIRECT(ADDRESS(K40*2+2,3))),"",INDIRECT(ADDRESS(K40*2+2,3)))</f>
        <v>Изместьев Викторов</v>
      </c>
      <c r="I40" s="105"/>
      <c r="J40" s="105"/>
      <c r="K40" s="39">
        <v>6</v>
      </c>
      <c r="L40" s="66" t="s">
        <v>63</v>
      </c>
      <c r="M40" s="67"/>
    </row>
    <row r="41" spans="2:13" ht="30" customHeight="1" thickBot="1" x14ac:dyDescent="0.3">
      <c r="B41" s="39">
        <v>4</v>
      </c>
      <c r="C41" s="105" t="str">
        <f ca="1">IF(ISBLANK(INDIRECT(ADDRESS(B41*2+2,3))),"",INDIRECT(ADDRESS(B41*2+2,3)))</f>
        <v>Чугунов Малов</v>
      </c>
      <c r="D41" s="105"/>
      <c r="E41" s="106"/>
      <c r="F41" s="88">
        <v>12</v>
      </c>
      <c r="G41" s="89">
        <v>5</v>
      </c>
      <c r="H41" s="107" t="str">
        <f ca="1">IF(ISBLANK(INDIRECT(ADDRESS(K41*2+2,3))),"",INDIRECT(ADDRESS(K41*2+2,3)))</f>
        <v>Пищанский Валибуз</v>
      </c>
      <c r="I41" s="105"/>
      <c r="J41" s="105"/>
      <c r="K41" s="39">
        <v>2</v>
      </c>
      <c r="L41" s="66" t="s">
        <v>63</v>
      </c>
      <c r="M41" s="67"/>
    </row>
    <row r="42" spans="2:13" ht="30" customHeight="1" thickBot="1" x14ac:dyDescent="0.3">
      <c r="B42" s="39">
        <v>5</v>
      </c>
      <c r="C42" s="105" t="str">
        <f ca="1">IF(ISBLANK(INDIRECT(ADDRESS(B42*2+2,3))),"",INDIRECT(ADDRESS(B42*2+2,3)))</f>
        <v>Нечепуренко</v>
      </c>
      <c r="D42" s="105"/>
      <c r="E42" s="106"/>
      <c r="F42" s="88">
        <v>0</v>
      </c>
      <c r="G42" s="89">
        <v>13</v>
      </c>
      <c r="H42" s="107" t="str">
        <f ca="1">IF(ISBLANK(INDIRECT(ADDRESS(K42*2+2,3))),"",INDIRECT(ADDRESS(K42*2+2,3)))</f>
        <v>Коржов Соколовский</v>
      </c>
      <c r="I42" s="105"/>
      <c r="J42" s="105"/>
      <c r="K42" s="39">
        <v>1</v>
      </c>
      <c r="L42" s="66" t="s">
        <v>63</v>
      </c>
      <c r="M42" s="67"/>
    </row>
  </sheetData>
  <mergeCells count="61"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B6:B7"/>
    <mergeCell ref="C6:E7"/>
    <mergeCell ref="L6:L7"/>
    <mergeCell ref="N6:N7"/>
    <mergeCell ref="B8:B9"/>
    <mergeCell ref="C8:E9"/>
    <mergeCell ref="L8:L9"/>
    <mergeCell ref="N8:N9"/>
    <mergeCell ref="N4:N5"/>
    <mergeCell ref="B1:N1"/>
    <mergeCell ref="C3:E3"/>
    <mergeCell ref="B4:B5"/>
    <mergeCell ref="C4:E5"/>
    <mergeCell ref="L4:L5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  <headerFooter>
    <oddHeader xml:space="preserve">&amp;CРОО "Федерация спортивных дисциплин боулспорта Краснодарского края"&amp;R
1410001511Я
Новороссийск 16.03.25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opLeftCell="A24" workbookViewId="0">
      <selection activeCell="C28" sqref="C28"/>
    </sheetView>
  </sheetViews>
  <sheetFormatPr defaultRowHeight="15" x14ac:dyDescent="0.25"/>
  <cols>
    <col min="1" max="1" width="4.7109375" style="20" customWidth="1"/>
    <col min="2" max="2" width="31.5703125" style="20" customWidth="1"/>
    <col min="3" max="3" width="32.28515625" style="20" customWidth="1"/>
    <col min="4" max="4" width="11.7109375" style="20" customWidth="1"/>
    <col min="5" max="5" width="7.7109375" style="20" customWidth="1"/>
    <col min="6" max="6" width="5.85546875" style="20" customWidth="1"/>
    <col min="7" max="16384" width="9.140625" style="20"/>
  </cols>
  <sheetData>
    <row r="1" spans="1:5" s="2" customFormat="1" ht="18.75" x14ac:dyDescent="0.3">
      <c r="A1" s="30"/>
      <c r="B1" s="31"/>
      <c r="C1" s="31"/>
      <c r="D1" s="31"/>
      <c r="E1" s="15" t="s">
        <v>15</v>
      </c>
    </row>
    <row r="2" spans="1:5" s="2" customFormat="1" ht="18.75" x14ac:dyDescent="0.3">
      <c r="A2" s="30"/>
      <c r="B2" s="31"/>
      <c r="C2" s="31"/>
      <c r="D2" s="31"/>
      <c r="E2" s="35" t="s">
        <v>72</v>
      </c>
    </row>
    <row r="3" spans="1:5" s="2" customFormat="1" ht="18.75" x14ac:dyDescent="0.3">
      <c r="A3" s="30"/>
      <c r="B3" s="31"/>
      <c r="C3" s="31"/>
      <c r="D3" s="31"/>
      <c r="E3" s="17"/>
    </row>
    <row r="4" spans="1:5" s="2" customFormat="1" ht="18.75" x14ac:dyDescent="0.3">
      <c r="A4" s="102" t="s">
        <v>70</v>
      </c>
      <c r="B4" s="103"/>
      <c r="C4" s="103"/>
      <c r="D4" s="103"/>
      <c r="E4" s="101"/>
    </row>
    <row r="5" spans="1:5" s="2" customFormat="1" ht="18.75" x14ac:dyDescent="0.3">
      <c r="A5" s="77"/>
      <c r="B5" s="81" t="s">
        <v>96</v>
      </c>
      <c r="C5" s="77"/>
      <c r="D5" s="77"/>
      <c r="E5" s="77"/>
    </row>
    <row r="7" spans="1:5" x14ac:dyDescent="0.25">
      <c r="B7" s="23"/>
      <c r="C7" s="23"/>
      <c r="D7" s="23"/>
    </row>
    <row r="8" spans="1:5" ht="15.75" x14ac:dyDescent="0.25">
      <c r="B8" s="23"/>
      <c r="C8" s="25" t="s">
        <v>50</v>
      </c>
      <c r="D8" s="23"/>
    </row>
    <row r="9" spans="1:5" ht="15.75" x14ac:dyDescent="0.25">
      <c r="B9" s="1" t="s">
        <v>97</v>
      </c>
      <c r="C9" s="1" t="s">
        <v>98</v>
      </c>
      <c r="D9" s="24" t="s">
        <v>99</v>
      </c>
    </row>
    <row r="10" spans="1:5" ht="15.75" x14ac:dyDescent="0.25">
      <c r="B10" s="1" t="s">
        <v>100</v>
      </c>
      <c r="C10" s="1" t="s">
        <v>101</v>
      </c>
      <c r="D10" s="26" t="s">
        <v>102</v>
      </c>
    </row>
    <row r="11" spans="1:5" x14ac:dyDescent="0.25">
      <c r="B11" s="23"/>
      <c r="C11" s="23"/>
      <c r="D11" s="27"/>
    </row>
    <row r="12" spans="1:5" ht="15.75" x14ac:dyDescent="0.25">
      <c r="B12" s="23"/>
      <c r="C12" s="25" t="s">
        <v>41</v>
      </c>
      <c r="D12" s="27"/>
    </row>
    <row r="13" spans="1:5" ht="15.75" x14ac:dyDescent="0.25">
      <c r="B13" s="1" t="s">
        <v>98</v>
      </c>
      <c r="C13" s="1" t="s">
        <v>100</v>
      </c>
      <c r="D13" s="26" t="s">
        <v>103</v>
      </c>
    </row>
    <row r="14" spans="1:5" x14ac:dyDescent="0.25">
      <c r="B14" s="23"/>
      <c r="C14" s="23"/>
      <c r="D14" s="27"/>
    </row>
    <row r="15" spans="1:5" ht="15.75" x14ac:dyDescent="0.25">
      <c r="B15" s="23"/>
      <c r="C15" s="25" t="s">
        <v>42</v>
      </c>
      <c r="D15" s="27"/>
    </row>
    <row r="16" spans="1:5" ht="15.75" x14ac:dyDescent="0.25">
      <c r="B16" s="1" t="s">
        <v>97</v>
      </c>
      <c r="C16" s="1" t="s">
        <v>101</v>
      </c>
      <c r="D16" s="26" t="s">
        <v>104</v>
      </c>
    </row>
    <row r="17" spans="2:4" x14ac:dyDescent="0.25">
      <c r="B17" s="23"/>
      <c r="C17" s="23"/>
      <c r="D17" s="27"/>
    </row>
    <row r="18" spans="2:4" x14ac:dyDescent="0.25">
      <c r="B18" s="23"/>
      <c r="C18" s="23"/>
      <c r="D18" s="27"/>
    </row>
    <row r="19" spans="2:4" ht="15.75" x14ac:dyDescent="0.25">
      <c r="B19" s="23"/>
      <c r="C19" s="25" t="s">
        <v>51</v>
      </c>
      <c r="D19" s="23"/>
    </row>
    <row r="20" spans="2:4" ht="15.75" x14ac:dyDescent="0.25">
      <c r="B20" s="33" t="s">
        <v>105</v>
      </c>
      <c r="C20" s="1" t="s">
        <v>106</v>
      </c>
      <c r="D20" s="24" t="s">
        <v>109</v>
      </c>
    </row>
    <row r="21" spans="2:4" ht="15.75" x14ac:dyDescent="0.25">
      <c r="B21" s="1" t="s">
        <v>107</v>
      </c>
      <c r="C21" s="1" t="s">
        <v>108</v>
      </c>
      <c r="D21" s="26" t="s">
        <v>110</v>
      </c>
    </row>
    <row r="22" spans="2:4" x14ac:dyDescent="0.25">
      <c r="B22" s="23"/>
      <c r="C22" s="23"/>
      <c r="D22" s="27"/>
    </row>
    <row r="23" spans="2:4" ht="15.75" x14ac:dyDescent="0.25">
      <c r="B23" s="23"/>
      <c r="C23" s="25" t="s">
        <v>43</v>
      </c>
      <c r="D23" s="27"/>
    </row>
    <row r="24" spans="2:4" ht="15.75" x14ac:dyDescent="0.25">
      <c r="B24" s="1" t="s">
        <v>105</v>
      </c>
      <c r="C24" s="1" t="s">
        <v>107</v>
      </c>
      <c r="D24" s="26" t="s">
        <v>111</v>
      </c>
    </row>
    <row r="26" spans="2:4" ht="15.75" x14ac:dyDescent="0.25">
      <c r="B26" s="23"/>
      <c r="C26" s="25" t="s">
        <v>44</v>
      </c>
      <c r="D26" s="27"/>
    </row>
    <row r="27" spans="2:4" ht="15.75" x14ac:dyDescent="0.25">
      <c r="B27" s="1" t="s">
        <v>106</v>
      </c>
      <c r="C27" s="1" t="s">
        <v>108</v>
      </c>
      <c r="D27" s="26" t="s">
        <v>112</v>
      </c>
    </row>
    <row r="28" spans="2:4" x14ac:dyDescent="0.25">
      <c r="D28" s="21"/>
    </row>
    <row r="29" spans="2:4" x14ac:dyDescent="0.25">
      <c r="B29" s="32"/>
      <c r="C29" s="32"/>
      <c r="D29" s="68"/>
    </row>
    <row r="30" spans="2:4" ht="15.75" x14ac:dyDescent="0.25">
      <c r="B30" s="69"/>
      <c r="C30" s="25"/>
      <c r="D30" s="69"/>
    </row>
    <row r="31" spans="2:4" ht="15.75" x14ac:dyDescent="0.25">
      <c r="B31" s="34"/>
      <c r="C31" s="34"/>
      <c r="D31" s="70"/>
    </row>
    <row r="32" spans="2:4" ht="15.75" x14ac:dyDescent="0.25">
      <c r="B32" s="34"/>
      <c r="C32" s="34"/>
      <c r="D32" s="71"/>
    </row>
    <row r="33" spans="2:4" x14ac:dyDescent="0.25">
      <c r="B33" s="69"/>
      <c r="C33" s="69"/>
      <c r="D33" s="71"/>
    </row>
    <row r="34" spans="2:4" ht="15.75" x14ac:dyDescent="0.25">
      <c r="B34" s="69"/>
      <c r="C34" s="25"/>
      <c r="D34" s="71"/>
    </row>
    <row r="35" spans="2:4" ht="15.75" x14ac:dyDescent="0.25">
      <c r="B35" s="34"/>
      <c r="C35" s="34"/>
      <c r="D35" s="71"/>
    </row>
    <row r="36" spans="2:4" x14ac:dyDescent="0.25">
      <c r="B36" s="32"/>
      <c r="C36" s="32"/>
      <c r="D36" s="32"/>
    </row>
    <row r="37" spans="2:4" ht="15.75" x14ac:dyDescent="0.25">
      <c r="B37" s="69"/>
      <c r="C37" s="25"/>
      <c r="D37" s="71"/>
    </row>
    <row r="38" spans="2:4" ht="15.75" x14ac:dyDescent="0.25">
      <c r="B38" s="34"/>
      <c r="C38" s="34"/>
      <c r="D38" s="71"/>
    </row>
    <row r="39" spans="2:4" x14ac:dyDescent="0.25">
      <c r="D39" s="21"/>
    </row>
    <row r="40" spans="2:4" x14ac:dyDescent="0.25">
      <c r="D40" s="21"/>
    </row>
    <row r="41" spans="2:4" ht="15.75" x14ac:dyDescent="0.25">
      <c r="B41" s="6" t="s">
        <v>23</v>
      </c>
      <c r="D41" s="21"/>
    </row>
    <row r="42" spans="2:4" ht="15.75" x14ac:dyDescent="0.25">
      <c r="B42" s="6"/>
    </row>
    <row r="43" spans="2:4" ht="15.75" x14ac:dyDescent="0.25">
      <c r="B43" s="6" t="s">
        <v>52</v>
      </c>
    </row>
  </sheetData>
  <mergeCells count="1">
    <mergeCell ref="A4:E4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&amp;CРОО "Федерация спортивных дисциплин боулспорта Краснодарского края"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20" zoomScaleNormal="100" workbookViewId="0">
      <selection activeCell="H18" sqref="H18"/>
    </sheetView>
  </sheetViews>
  <sheetFormatPr defaultRowHeight="15" x14ac:dyDescent="0.25"/>
  <cols>
    <col min="1" max="1" width="7.140625" customWidth="1"/>
    <col min="2" max="2" width="40.5703125" customWidth="1"/>
    <col min="4" max="4" width="17" customWidth="1"/>
    <col min="5" max="5" width="12.28515625" customWidth="1"/>
  </cols>
  <sheetData>
    <row r="1" spans="1:5" s="2" customFormat="1" ht="18.75" x14ac:dyDescent="0.3">
      <c r="A1" s="13"/>
      <c r="B1" s="14"/>
      <c r="C1" s="14"/>
      <c r="D1" s="14"/>
      <c r="E1" s="15" t="s">
        <v>15</v>
      </c>
    </row>
    <row r="2" spans="1:5" s="2" customFormat="1" ht="18.75" x14ac:dyDescent="0.3">
      <c r="A2" s="13"/>
      <c r="B2" s="14"/>
      <c r="C2" s="14"/>
      <c r="D2" s="18"/>
      <c r="E2" s="35" t="s">
        <v>72</v>
      </c>
    </row>
    <row r="3" spans="1:5" s="2" customFormat="1" ht="18.75" x14ac:dyDescent="0.3">
      <c r="A3" s="13"/>
      <c r="B3" s="14"/>
      <c r="C3" s="14"/>
      <c r="D3" s="14"/>
      <c r="E3" s="17"/>
    </row>
    <row r="4" spans="1:5" s="2" customFormat="1" ht="18.75" x14ac:dyDescent="0.3">
      <c r="A4" s="102" t="s">
        <v>70</v>
      </c>
      <c r="B4" s="103"/>
      <c r="C4" s="103"/>
      <c r="D4" s="103"/>
      <c r="E4" s="101"/>
    </row>
    <row r="5" spans="1:5" s="2" customFormat="1" ht="18.75" x14ac:dyDescent="0.3">
      <c r="A5" s="77"/>
      <c r="B5" s="81" t="s">
        <v>96</v>
      </c>
      <c r="C5" s="78"/>
      <c r="D5" s="78"/>
      <c r="E5" s="76"/>
    </row>
    <row r="6" spans="1:5" s="2" customFormat="1" ht="9.75" customHeight="1" x14ac:dyDescent="0.3">
      <c r="B6" s="4"/>
      <c r="C6" s="4"/>
    </row>
    <row r="7" spans="1:5" s="2" customFormat="1" ht="18.75" x14ac:dyDescent="0.3">
      <c r="B7" s="4" t="s">
        <v>10</v>
      </c>
      <c r="C7" s="4"/>
    </row>
    <row r="8" spans="1:5" ht="15.75" x14ac:dyDescent="0.25">
      <c r="A8" s="22" t="s">
        <v>0</v>
      </c>
      <c r="B8" s="22" t="s">
        <v>1</v>
      </c>
      <c r="C8" s="22" t="s">
        <v>2</v>
      </c>
      <c r="D8" s="22" t="s">
        <v>8</v>
      </c>
      <c r="E8" s="22" t="s">
        <v>3</v>
      </c>
    </row>
    <row r="9" spans="1:5" ht="15.75" x14ac:dyDescent="0.25">
      <c r="A9" s="1">
        <v>1</v>
      </c>
      <c r="B9" s="37" t="s">
        <v>45</v>
      </c>
      <c r="C9" s="1" t="s">
        <v>55</v>
      </c>
      <c r="D9" s="1" t="s">
        <v>7</v>
      </c>
      <c r="E9" s="1" t="s">
        <v>55</v>
      </c>
    </row>
    <row r="10" spans="1:5" ht="15.75" x14ac:dyDescent="0.25">
      <c r="A10" s="1"/>
      <c r="B10" s="37" t="s">
        <v>40</v>
      </c>
      <c r="C10" s="1" t="s">
        <v>9</v>
      </c>
      <c r="D10" s="1" t="s">
        <v>7</v>
      </c>
      <c r="E10" s="1" t="s">
        <v>55</v>
      </c>
    </row>
    <row r="11" spans="1:5" ht="15.75" x14ac:dyDescent="0.25">
      <c r="A11" s="1">
        <v>2</v>
      </c>
      <c r="B11" s="37" t="s">
        <v>36</v>
      </c>
      <c r="C11" s="1" t="s">
        <v>9</v>
      </c>
      <c r="D11" s="1" t="s">
        <v>7</v>
      </c>
      <c r="E11" s="1" t="s">
        <v>53</v>
      </c>
    </row>
    <row r="12" spans="1:5" ht="15.75" x14ac:dyDescent="0.25">
      <c r="A12" s="1"/>
      <c r="B12" s="37" t="s">
        <v>46</v>
      </c>
      <c r="C12" s="1" t="s">
        <v>53</v>
      </c>
      <c r="D12" s="1" t="s">
        <v>7</v>
      </c>
      <c r="E12" s="1" t="s">
        <v>53</v>
      </c>
    </row>
    <row r="13" spans="1:5" ht="15.75" x14ac:dyDescent="0.25">
      <c r="A13" s="1">
        <v>3</v>
      </c>
      <c r="B13" s="85" t="s">
        <v>80</v>
      </c>
      <c r="C13" s="1" t="s">
        <v>9</v>
      </c>
      <c r="D13" s="1" t="s">
        <v>33</v>
      </c>
      <c r="E13" s="1"/>
    </row>
    <row r="14" spans="1:5" ht="15.75" x14ac:dyDescent="0.25">
      <c r="A14" s="1"/>
      <c r="B14" s="84" t="s">
        <v>81</v>
      </c>
      <c r="C14" s="1" t="s">
        <v>9</v>
      </c>
      <c r="D14" s="1" t="s">
        <v>33</v>
      </c>
      <c r="E14" s="1"/>
    </row>
    <row r="15" spans="1:5" ht="15.75" x14ac:dyDescent="0.25">
      <c r="A15" s="1">
        <v>4</v>
      </c>
      <c r="B15" s="37" t="s">
        <v>34</v>
      </c>
      <c r="C15" s="1" t="s">
        <v>9</v>
      </c>
      <c r="D15" s="1" t="s">
        <v>6</v>
      </c>
      <c r="E15" s="1"/>
    </row>
    <row r="16" spans="1:5" ht="15.75" x14ac:dyDescent="0.25">
      <c r="A16" s="1"/>
      <c r="B16" s="37" t="s">
        <v>48</v>
      </c>
      <c r="C16" s="1" t="s">
        <v>9</v>
      </c>
      <c r="D16" s="1" t="s">
        <v>6</v>
      </c>
      <c r="E16" s="1"/>
    </row>
    <row r="17" spans="1:5" ht="15.75" x14ac:dyDescent="0.25">
      <c r="A17" s="1">
        <v>5</v>
      </c>
      <c r="B17" s="37" t="s">
        <v>37</v>
      </c>
      <c r="C17" s="1" t="s">
        <v>9</v>
      </c>
      <c r="D17" s="1" t="s">
        <v>7</v>
      </c>
      <c r="E17" s="1"/>
    </row>
    <row r="18" spans="1:5" ht="15.75" x14ac:dyDescent="0.25">
      <c r="A18" s="1"/>
      <c r="B18" s="37" t="s">
        <v>68</v>
      </c>
      <c r="C18" s="1" t="s">
        <v>9</v>
      </c>
      <c r="D18" s="1" t="s">
        <v>7</v>
      </c>
      <c r="E18" s="1"/>
    </row>
    <row r="19" spans="1:5" ht="15.75" x14ac:dyDescent="0.25">
      <c r="A19" s="1">
        <v>6</v>
      </c>
      <c r="B19" s="86" t="s">
        <v>77</v>
      </c>
      <c r="C19" s="1" t="s">
        <v>9</v>
      </c>
      <c r="D19" s="1" t="s">
        <v>7</v>
      </c>
      <c r="E19" s="1"/>
    </row>
    <row r="20" spans="1:5" ht="15.75" x14ac:dyDescent="0.25">
      <c r="A20" s="1"/>
      <c r="B20" s="37" t="s">
        <v>78</v>
      </c>
      <c r="C20" s="1" t="s">
        <v>9</v>
      </c>
      <c r="D20" s="1" t="s">
        <v>7</v>
      </c>
      <c r="E20" s="1"/>
    </row>
    <row r="21" spans="1:5" ht="15.75" x14ac:dyDescent="0.25">
      <c r="A21" s="1">
        <v>7</v>
      </c>
      <c r="B21" s="37" t="s">
        <v>47</v>
      </c>
      <c r="C21" s="1" t="s">
        <v>9</v>
      </c>
      <c r="D21" s="1" t="s">
        <v>35</v>
      </c>
      <c r="E21" s="1"/>
    </row>
    <row r="22" spans="1:5" ht="15.75" x14ac:dyDescent="0.25">
      <c r="A22" s="1"/>
      <c r="B22" s="85" t="s">
        <v>79</v>
      </c>
      <c r="C22" s="1" t="s">
        <v>9</v>
      </c>
      <c r="D22" s="1" t="s">
        <v>6</v>
      </c>
      <c r="E22" s="1"/>
    </row>
    <row r="23" spans="1:5" ht="15.75" x14ac:dyDescent="0.25">
      <c r="A23" s="1">
        <v>8</v>
      </c>
      <c r="B23" s="85" t="s">
        <v>76</v>
      </c>
      <c r="C23" s="1" t="s">
        <v>9</v>
      </c>
      <c r="D23" s="1" t="s">
        <v>33</v>
      </c>
      <c r="E23" s="1"/>
    </row>
    <row r="24" spans="1:5" ht="15.75" x14ac:dyDescent="0.25">
      <c r="A24" s="1"/>
      <c r="B24" s="37" t="s">
        <v>38</v>
      </c>
      <c r="C24" s="1" t="s">
        <v>9</v>
      </c>
      <c r="D24" s="1" t="s">
        <v>33</v>
      </c>
      <c r="E24" s="1"/>
    </row>
    <row r="25" spans="1:5" ht="15.75" x14ac:dyDescent="0.25">
      <c r="A25" s="1">
        <v>9</v>
      </c>
      <c r="B25" s="37" t="s">
        <v>39</v>
      </c>
      <c r="C25" s="1" t="s">
        <v>9</v>
      </c>
      <c r="D25" s="1" t="s">
        <v>6</v>
      </c>
      <c r="E25" s="1"/>
    </row>
    <row r="26" spans="1:5" ht="15.75" x14ac:dyDescent="0.25">
      <c r="A26" s="1"/>
      <c r="B26" s="37" t="s">
        <v>56</v>
      </c>
      <c r="C26" s="1" t="s">
        <v>9</v>
      </c>
      <c r="D26" s="1" t="s">
        <v>6</v>
      </c>
      <c r="E26" s="1"/>
    </row>
    <row r="27" spans="1:5" ht="15.75" x14ac:dyDescent="0.25">
      <c r="A27" s="1">
        <v>10</v>
      </c>
      <c r="B27" s="84" t="s">
        <v>82</v>
      </c>
      <c r="C27" s="1" t="s">
        <v>9</v>
      </c>
      <c r="D27" s="1" t="s">
        <v>84</v>
      </c>
      <c r="E27" s="1"/>
    </row>
    <row r="28" spans="1:5" ht="15.75" x14ac:dyDescent="0.25">
      <c r="A28" s="1"/>
      <c r="B28" s="84" t="s">
        <v>83</v>
      </c>
      <c r="C28" s="1" t="s">
        <v>9</v>
      </c>
      <c r="D28" s="1" t="s">
        <v>84</v>
      </c>
      <c r="E28" s="1"/>
    </row>
    <row r="29" spans="1:5" ht="15.75" x14ac:dyDescent="0.25">
      <c r="A29" s="1">
        <v>11</v>
      </c>
      <c r="B29" s="37" t="s">
        <v>75</v>
      </c>
      <c r="C29" s="1" t="s">
        <v>9</v>
      </c>
      <c r="D29" s="1" t="s">
        <v>7</v>
      </c>
      <c r="E29" s="1"/>
    </row>
    <row r="30" spans="1:5" ht="15.75" x14ac:dyDescent="0.25">
      <c r="A30" s="1"/>
      <c r="B30" s="84" t="s">
        <v>74</v>
      </c>
      <c r="C30" s="1" t="s">
        <v>9</v>
      </c>
      <c r="D30" s="1" t="s">
        <v>7</v>
      </c>
      <c r="E30" s="1"/>
    </row>
    <row r="31" spans="1:5" ht="15.75" x14ac:dyDescent="0.25">
      <c r="A31" s="1"/>
      <c r="B31" s="1"/>
      <c r="C31" s="1"/>
      <c r="D31" s="8"/>
      <c r="E31" s="8"/>
    </row>
    <row r="32" spans="1:5" ht="15.75" x14ac:dyDescent="0.25">
      <c r="A32" s="1"/>
      <c r="B32" s="1"/>
      <c r="C32" s="1"/>
      <c r="D32" s="8"/>
      <c r="E32" s="8"/>
    </row>
    <row r="33" spans="1:5" s="20" customFormat="1" ht="15.75" x14ac:dyDescent="0.25">
      <c r="A33" s="8"/>
      <c r="B33" s="1"/>
      <c r="C33" s="1"/>
      <c r="D33" s="8"/>
      <c r="E33" s="8"/>
    </row>
    <row r="34" spans="1:5" s="20" customFormat="1" ht="15.75" x14ac:dyDescent="0.25">
      <c r="A34" s="8"/>
      <c r="B34" s="1"/>
      <c r="C34" s="1"/>
      <c r="D34" s="8"/>
      <c r="E34" s="8"/>
    </row>
    <row r="35" spans="1:5" s="20" customFormat="1" ht="15.75" x14ac:dyDescent="0.25">
      <c r="A35" s="8"/>
      <c r="B35" s="1"/>
      <c r="C35" s="1"/>
      <c r="D35" s="8"/>
      <c r="E35" s="8"/>
    </row>
    <row r="36" spans="1:5" s="20" customFormat="1" ht="15.75" x14ac:dyDescent="0.25">
      <c r="A36" s="8"/>
      <c r="B36" s="1"/>
      <c r="C36" s="1"/>
      <c r="D36" s="8"/>
      <c r="E36" s="8"/>
    </row>
    <row r="37" spans="1:5" s="20" customFormat="1" ht="15.75" x14ac:dyDescent="0.25">
      <c r="A37" s="8"/>
      <c r="B37" s="1"/>
      <c r="C37" s="1"/>
      <c r="D37" s="8"/>
      <c r="E37" s="8"/>
    </row>
    <row r="38" spans="1:5" s="20" customFormat="1" ht="15.75" x14ac:dyDescent="0.25">
      <c r="A38" s="8"/>
      <c r="B38" s="1"/>
      <c r="C38" s="1"/>
      <c r="D38" s="8"/>
      <c r="E38" s="8"/>
    </row>
    <row r="39" spans="1:5" s="20" customFormat="1" x14ac:dyDescent="0.25"/>
    <row r="40" spans="1:5" s="2" customFormat="1" ht="18.75" x14ac:dyDescent="0.3">
      <c r="A40" s="20"/>
      <c r="B40" s="6" t="s">
        <v>23</v>
      </c>
      <c r="C40" s="6"/>
      <c r="D40" s="6"/>
    </row>
    <row r="41" spans="1:5" s="2" customFormat="1" ht="18.75" x14ac:dyDescent="0.3">
      <c r="A41" s="20"/>
      <c r="B41" s="6"/>
      <c r="C41" s="6"/>
      <c r="D41" s="6"/>
    </row>
    <row r="42" spans="1:5" s="2" customFormat="1" ht="18.75" x14ac:dyDescent="0.3">
      <c r="A42" s="6"/>
      <c r="B42" s="6" t="s">
        <v>52</v>
      </c>
      <c r="C42" s="6"/>
      <c r="D42" s="6"/>
    </row>
  </sheetData>
  <sortState ref="A7:E26">
    <sortCondition ref="A7:A26"/>
  </sortState>
  <mergeCells count="1">
    <mergeCell ref="A4:E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&amp;C&amp;12РОО "Федерация спортивных дисциплин боулспорта Краснодарского края"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10" workbookViewId="0">
      <selection activeCell="H20" sqref="H20"/>
    </sheetView>
  </sheetViews>
  <sheetFormatPr defaultRowHeight="15" x14ac:dyDescent="0.25"/>
  <cols>
    <col min="2" max="2" width="31.5703125" customWidth="1"/>
    <col min="3" max="3" width="10" customWidth="1"/>
    <col min="4" max="4" width="10" style="20" customWidth="1"/>
  </cols>
  <sheetData>
    <row r="1" spans="1:8" s="2" customFormat="1" ht="18.75" x14ac:dyDescent="0.3">
      <c r="B1" s="4"/>
    </row>
    <row r="2" spans="1:8" s="2" customFormat="1" ht="18.75" x14ac:dyDescent="0.3">
      <c r="B2" s="4" t="s">
        <v>70</v>
      </c>
    </row>
    <row r="3" spans="1:8" s="2" customFormat="1" ht="18.75" x14ac:dyDescent="0.3">
      <c r="B3" s="4"/>
    </row>
    <row r="5" spans="1:8" ht="30" x14ac:dyDescent="0.25">
      <c r="A5" s="1" t="s">
        <v>0</v>
      </c>
      <c r="B5" s="1" t="s">
        <v>1</v>
      </c>
      <c r="C5" s="7" t="s">
        <v>11</v>
      </c>
      <c r="D5" s="7" t="s">
        <v>54</v>
      </c>
      <c r="E5" s="7" t="s">
        <v>12</v>
      </c>
      <c r="F5" s="8" t="s">
        <v>14</v>
      </c>
      <c r="G5" s="7" t="s">
        <v>13</v>
      </c>
    </row>
    <row r="6" spans="1:8" ht="15.75" x14ac:dyDescent="0.25">
      <c r="A6" s="1">
        <v>1</v>
      </c>
      <c r="B6" s="37" t="s">
        <v>45</v>
      </c>
      <c r="C6" s="8">
        <v>25</v>
      </c>
      <c r="D6" s="8">
        <v>0.2</v>
      </c>
      <c r="E6" s="8">
        <f>C6+D6</f>
        <v>25.2</v>
      </c>
      <c r="F6" s="8">
        <v>1.1000000000000001</v>
      </c>
      <c r="G6" s="9">
        <f>E6*F6</f>
        <v>27.720000000000002</v>
      </c>
      <c r="H6" s="20"/>
    </row>
    <row r="7" spans="1:8" ht="15.75" x14ac:dyDescent="0.25">
      <c r="A7" s="1"/>
      <c r="B7" s="37" t="s">
        <v>40</v>
      </c>
      <c r="C7" s="8">
        <v>25</v>
      </c>
      <c r="D7" s="8">
        <v>0.2</v>
      </c>
      <c r="E7" s="8">
        <f t="shared" ref="E7:E27" si="0">C7+D7</f>
        <v>25.2</v>
      </c>
      <c r="F7" s="8">
        <v>1.1000000000000001</v>
      </c>
      <c r="G7" s="9">
        <f t="shared" ref="G7:G12" si="1">E7*F7</f>
        <v>27.720000000000002</v>
      </c>
      <c r="H7" s="20"/>
    </row>
    <row r="8" spans="1:8" ht="19.5" customHeight="1" x14ac:dyDescent="0.25">
      <c r="A8" s="1">
        <v>2</v>
      </c>
      <c r="B8" s="37" t="s">
        <v>36</v>
      </c>
      <c r="C8" s="8">
        <v>20</v>
      </c>
      <c r="D8" s="8"/>
      <c r="E8" s="8">
        <f t="shared" si="0"/>
        <v>20</v>
      </c>
      <c r="F8" s="8">
        <v>1.1000000000000001</v>
      </c>
      <c r="G8" s="9">
        <f t="shared" si="1"/>
        <v>22</v>
      </c>
    </row>
    <row r="9" spans="1:8" ht="15.75" x14ac:dyDescent="0.25">
      <c r="A9" s="1"/>
      <c r="B9" s="37" t="s">
        <v>46</v>
      </c>
      <c r="C9" s="8">
        <v>20</v>
      </c>
      <c r="D9" s="8"/>
      <c r="E9" s="8">
        <f t="shared" si="0"/>
        <v>20</v>
      </c>
      <c r="F9" s="8">
        <v>1.1000000000000001</v>
      </c>
      <c r="G9" s="9">
        <f t="shared" si="1"/>
        <v>22</v>
      </c>
      <c r="H9" s="20"/>
    </row>
    <row r="10" spans="1:8" ht="15.75" x14ac:dyDescent="0.25">
      <c r="A10" s="1">
        <v>3</v>
      </c>
      <c r="B10" s="85" t="s">
        <v>80</v>
      </c>
      <c r="C10" s="8">
        <v>16</v>
      </c>
      <c r="D10" s="8"/>
      <c r="E10" s="8">
        <f t="shared" si="0"/>
        <v>16</v>
      </c>
      <c r="F10" s="8">
        <v>1.1000000000000001</v>
      </c>
      <c r="G10" s="9">
        <f t="shared" si="1"/>
        <v>17.600000000000001</v>
      </c>
      <c r="H10" s="20"/>
    </row>
    <row r="11" spans="1:8" ht="15.75" x14ac:dyDescent="0.25">
      <c r="A11" s="1"/>
      <c r="B11" s="84" t="s">
        <v>81</v>
      </c>
      <c r="C11" s="8">
        <v>16</v>
      </c>
      <c r="D11" s="8"/>
      <c r="E11" s="8">
        <f t="shared" si="0"/>
        <v>16</v>
      </c>
      <c r="F11" s="8">
        <v>1.1000000000000001</v>
      </c>
      <c r="G11" s="9">
        <f t="shared" si="1"/>
        <v>17.600000000000001</v>
      </c>
      <c r="H11" s="20"/>
    </row>
    <row r="12" spans="1:8" ht="15.75" x14ac:dyDescent="0.25">
      <c r="A12" s="1">
        <v>4</v>
      </c>
      <c r="B12" s="37" t="s">
        <v>34</v>
      </c>
      <c r="C12" s="8">
        <v>12</v>
      </c>
      <c r="D12" s="8"/>
      <c r="E12" s="8">
        <f t="shared" si="0"/>
        <v>12</v>
      </c>
      <c r="F12" s="8">
        <v>1.1000000000000001</v>
      </c>
      <c r="G12" s="9">
        <f t="shared" si="1"/>
        <v>13.200000000000001</v>
      </c>
    </row>
    <row r="13" spans="1:8" ht="15.75" x14ac:dyDescent="0.25">
      <c r="A13" s="1"/>
      <c r="B13" s="37" t="s">
        <v>48</v>
      </c>
      <c r="C13" s="8">
        <v>12</v>
      </c>
      <c r="D13" s="8"/>
      <c r="E13" s="8">
        <f t="shared" si="0"/>
        <v>12</v>
      </c>
      <c r="F13" s="8">
        <v>1.1000000000000001</v>
      </c>
      <c r="G13" s="9">
        <f t="shared" ref="G13:G27" si="2">E13*F13</f>
        <v>13.200000000000001</v>
      </c>
    </row>
    <row r="14" spans="1:8" ht="15.75" x14ac:dyDescent="0.25">
      <c r="A14" s="1">
        <v>5</v>
      </c>
      <c r="B14" s="37" t="s">
        <v>37</v>
      </c>
      <c r="C14" s="8">
        <v>9</v>
      </c>
      <c r="D14" s="8"/>
      <c r="E14" s="8">
        <f t="shared" si="0"/>
        <v>9</v>
      </c>
      <c r="F14" s="8">
        <v>1.1000000000000001</v>
      </c>
      <c r="G14" s="9">
        <f t="shared" si="2"/>
        <v>9.9</v>
      </c>
    </row>
    <row r="15" spans="1:8" ht="15.75" x14ac:dyDescent="0.25">
      <c r="A15" s="1"/>
      <c r="B15" s="37" t="s">
        <v>68</v>
      </c>
      <c r="C15" s="8">
        <v>9</v>
      </c>
      <c r="D15" s="8"/>
      <c r="E15" s="8">
        <f t="shared" si="0"/>
        <v>9</v>
      </c>
      <c r="F15" s="8">
        <v>1.1000000000000001</v>
      </c>
      <c r="G15" s="9">
        <f t="shared" si="2"/>
        <v>9.9</v>
      </c>
    </row>
    <row r="16" spans="1:8" ht="15.75" x14ac:dyDescent="0.25">
      <c r="A16" s="1">
        <v>6</v>
      </c>
      <c r="B16" s="86" t="s">
        <v>77</v>
      </c>
      <c r="C16" s="8">
        <v>6</v>
      </c>
      <c r="D16" s="8"/>
      <c r="E16" s="8">
        <f t="shared" si="0"/>
        <v>6</v>
      </c>
      <c r="F16" s="8">
        <v>1.1000000000000001</v>
      </c>
      <c r="G16" s="9">
        <f t="shared" si="2"/>
        <v>6.6000000000000005</v>
      </c>
    </row>
    <row r="17" spans="1:8" ht="15.75" x14ac:dyDescent="0.25">
      <c r="A17" s="1"/>
      <c r="B17" s="37" t="s">
        <v>78</v>
      </c>
      <c r="C17" s="8">
        <v>6</v>
      </c>
      <c r="D17" s="8"/>
      <c r="E17" s="8">
        <f t="shared" si="0"/>
        <v>6</v>
      </c>
      <c r="F17" s="8">
        <v>1.1000000000000001</v>
      </c>
      <c r="G17" s="9">
        <f t="shared" si="2"/>
        <v>6.6000000000000005</v>
      </c>
    </row>
    <row r="18" spans="1:8" ht="15.75" x14ac:dyDescent="0.25">
      <c r="A18" s="1">
        <v>7</v>
      </c>
      <c r="B18" s="37" t="s">
        <v>47</v>
      </c>
      <c r="C18" s="8">
        <v>4</v>
      </c>
      <c r="D18" s="8"/>
      <c r="E18" s="8">
        <f t="shared" si="0"/>
        <v>4</v>
      </c>
      <c r="F18" s="8">
        <v>1.1000000000000001</v>
      </c>
      <c r="G18" s="9">
        <f t="shared" si="2"/>
        <v>4.4000000000000004</v>
      </c>
    </row>
    <row r="19" spans="1:8" ht="15.75" x14ac:dyDescent="0.25">
      <c r="A19" s="1"/>
      <c r="B19" s="85" t="s">
        <v>79</v>
      </c>
      <c r="C19" s="8">
        <v>4</v>
      </c>
      <c r="D19" s="8"/>
      <c r="E19" s="8">
        <f t="shared" si="0"/>
        <v>4</v>
      </c>
      <c r="F19" s="8">
        <v>1.1000000000000001</v>
      </c>
      <c r="G19" s="9">
        <f t="shared" si="2"/>
        <v>4.4000000000000004</v>
      </c>
      <c r="H19" t="s">
        <v>113</v>
      </c>
    </row>
    <row r="20" spans="1:8" ht="15.75" x14ac:dyDescent="0.25">
      <c r="A20" s="1">
        <v>8</v>
      </c>
      <c r="B20" s="85" t="s">
        <v>76</v>
      </c>
      <c r="C20" s="8">
        <v>3</v>
      </c>
      <c r="D20" s="8"/>
      <c r="E20" s="8">
        <f t="shared" si="0"/>
        <v>3</v>
      </c>
      <c r="F20" s="8">
        <v>1.1000000000000001</v>
      </c>
      <c r="G20" s="9">
        <f t="shared" si="2"/>
        <v>3.3000000000000003</v>
      </c>
    </row>
    <row r="21" spans="1:8" ht="15.75" x14ac:dyDescent="0.25">
      <c r="A21" s="1"/>
      <c r="B21" s="37" t="s">
        <v>38</v>
      </c>
      <c r="C21" s="8">
        <v>3</v>
      </c>
      <c r="D21" s="8"/>
      <c r="E21" s="8">
        <f t="shared" si="0"/>
        <v>3</v>
      </c>
      <c r="F21" s="8">
        <v>1.1000000000000001</v>
      </c>
      <c r="G21" s="9">
        <f t="shared" si="2"/>
        <v>3.3000000000000003</v>
      </c>
    </row>
    <row r="22" spans="1:8" ht="15.75" x14ac:dyDescent="0.25">
      <c r="A22" s="1">
        <v>9</v>
      </c>
      <c r="B22" s="37" t="s">
        <v>39</v>
      </c>
      <c r="C22" s="8">
        <v>2.25</v>
      </c>
      <c r="D22" s="8"/>
      <c r="E22" s="8">
        <f t="shared" si="0"/>
        <v>2.25</v>
      </c>
      <c r="F22" s="8">
        <v>1.1000000000000001</v>
      </c>
      <c r="G22" s="9">
        <f t="shared" si="2"/>
        <v>2.4750000000000001</v>
      </c>
    </row>
    <row r="23" spans="1:8" ht="15.75" x14ac:dyDescent="0.25">
      <c r="A23" s="1"/>
      <c r="B23" s="37" t="s">
        <v>56</v>
      </c>
      <c r="C23" s="8">
        <v>2.25</v>
      </c>
      <c r="D23" s="8"/>
      <c r="E23" s="8">
        <f t="shared" si="0"/>
        <v>2.25</v>
      </c>
      <c r="F23" s="8">
        <v>1.1000000000000001</v>
      </c>
      <c r="G23" s="9">
        <f t="shared" si="2"/>
        <v>2.4750000000000001</v>
      </c>
    </row>
    <row r="24" spans="1:8" ht="15.75" x14ac:dyDescent="0.25">
      <c r="A24" s="1">
        <v>10</v>
      </c>
      <c r="B24" s="84" t="s">
        <v>82</v>
      </c>
      <c r="C24" s="8">
        <v>1.5</v>
      </c>
      <c r="D24" s="8"/>
      <c r="E24" s="8">
        <f t="shared" si="0"/>
        <v>1.5</v>
      </c>
      <c r="F24" s="8">
        <v>1.1000000000000001</v>
      </c>
      <c r="G24" s="9">
        <f t="shared" si="2"/>
        <v>1.6500000000000001</v>
      </c>
    </row>
    <row r="25" spans="1:8" ht="15.75" x14ac:dyDescent="0.25">
      <c r="A25" s="1"/>
      <c r="B25" s="84" t="s">
        <v>83</v>
      </c>
      <c r="C25" s="8">
        <v>1.5</v>
      </c>
      <c r="D25" s="8"/>
      <c r="E25" s="8">
        <f t="shared" si="0"/>
        <v>1.5</v>
      </c>
      <c r="F25" s="8">
        <v>1.1000000000000001</v>
      </c>
      <c r="G25" s="9">
        <f t="shared" si="2"/>
        <v>1.6500000000000001</v>
      </c>
    </row>
    <row r="26" spans="1:8" ht="15.75" x14ac:dyDescent="0.25">
      <c r="A26" s="1">
        <v>11</v>
      </c>
      <c r="B26" s="37" t="s">
        <v>75</v>
      </c>
      <c r="C26" s="8">
        <v>0.75</v>
      </c>
      <c r="D26" s="8"/>
      <c r="E26" s="8">
        <f t="shared" si="0"/>
        <v>0.75</v>
      </c>
      <c r="F26" s="8">
        <v>1.1000000000000001</v>
      </c>
      <c r="G26" s="9">
        <f t="shared" si="2"/>
        <v>0.82500000000000007</v>
      </c>
    </row>
    <row r="27" spans="1:8" ht="15.75" x14ac:dyDescent="0.25">
      <c r="A27" s="1"/>
      <c r="B27" s="84" t="s">
        <v>74</v>
      </c>
      <c r="C27" s="8">
        <v>0.75</v>
      </c>
      <c r="D27" s="8"/>
      <c r="E27" s="8">
        <f t="shared" si="0"/>
        <v>0.75</v>
      </c>
      <c r="F27" s="8">
        <v>1.1000000000000001</v>
      </c>
      <c r="G27" s="9">
        <f t="shared" si="2"/>
        <v>0.82500000000000007</v>
      </c>
    </row>
    <row r="28" spans="1:8" ht="15.75" x14ac:dyDescent="0.25">
      <c r="A28" s="1"/>
      <c r="B28" s="1"/>
      <c r="C28" s="8"/>
      <c r="D28" s="8"/>
      <c r="E28" s="8"/>
      <c r="F28" s="8"/>
      <c r="G28" s="9"/>
    </row>
    <row r="29" spans="1:8" ht="15.75" x14ac:dyDescent="0.25">
      <c r="A29" s="1"/>
      <c r="B29" s="1"/>
      <c r="C29" s="8"/>
      <c r="D29" s="8"/>
      <c r="E29" s="8"/>
      <c r="F29" s="8"/>
      <c r="G29" s="9"/>
    </row>
    <row r="30" spans="1:8" ht="15.75" x14ac:dyDescent="0.25">
      <c r="A30" s="8"/>
      <c r="B30" s="1"/>
      <c r="C30" s="8"/>
      <c r="D30" s="8"/>
      <c r="E30" s="8"/>
      <c r="F30" s="8"/>
      <c r="G30" s="9"/>
    </row>
    <row r="31" spans="1:8" ht="15.75" x14ac:dyDescent="0.25">
      <c r="A31" s="8"/>
      <c r="B31" s="1"/>
      <c r="C31" s="8"/>
      <c r="D31" s="8"/>
      <c r="E31" s="8"/>
      <c r="F31" s="8"/>
      <c r="G31" s="9"/>
    </row>
    <row r="32" spans="1:8" ht="15.75" x14ac:dyDescent="0.25">
      <c r="A32" s="8"/>
      <c r="B32" s="1"/>
      <c r="C32" s="8"/>
      <c r="D32" s="8"/>
      <c r="E32" s="8"/>
      <c r="F32" s="8"/>
      <c r="G32" s="9"/>
    </row>
    <row r="33" spans="1:9" ht="15.75" x14ac:dyDescent="0.25">
      <c r="A33" s="8"/>
      <c r="B33" s="1"/>
      <c r="C33" s="8"/>
      <c r="D33" s="8"/>
      <c r="E33" s="8"/>
      <c r="F33" s="8"/>
      <c r="G33" s="9"/>
    </row>
    <row r="34" spans="1:9" ht="15.75" x14ac:dyDescent="0.25">
      <c r="A34" s="8"/>
      <c r="B34" s="1"/>
      <c r="C34" s="8"/>
      <c r="D34" s="8"/>
      <c r="E34" s="8"/>
      <c r="F34" s="8"/>
      <c r="G34" s="9"/>
      <c r="I34" s="20"/>
    </row>
    <row r="35" spans="1:9" ht="15.75" x14ac:dyDescent="0.25">
      <c r="A35" s="8"/>
      <c r="B35" s="1"/>
      <c r="C35" s="8"/>
      <c r="D35" s="8"/>
      <c r="E35" s="8"/>
      <c r="F35" s="8"/>
      <c r="G35" s="9"/>
      <c r="I35" s="20"/>
    </row>
    <row r="36" spans="1:9" x14ac:dyDescent="0.25">
      <c r="B36" s="20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Судьи</vt:lpstr>
      <vt:lpstr>Заявка</vt:lpstr>
      <vt:lpstr>Группа A</vt:lpstr>
      <vt:lpstr>Группа B</vt:lpstr>
      <vt:lpstr>Playoff  A B</vt:lpstr>
      <vt:lpstr>Итог</vt:lpstr>
      <vt:lpstr>Рейтинг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</dc:creator>
  <cp:lastModifiedBy>Макс</cp:lastModifiedBy>
  <cp:lastPrinted>2025-03-16T04:17:40Z</cp:lastPrinted>
  <dcterms:created xsi:type="dcterms:W3CDTF">2023-12-22T10:40:33Z</dcterms:created>
  <dcterms:modified xsi:type="dcterms:W3CDTF">2025-03-18T05:01:40Z</dcterms:modified>
</cp:coreProperties>
</file>