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lash\Петанк\2026\Новороссийск\Каменный кубок\"/>
    </mc:Choice>
  </mc:AlternateContent>
  <bookViews>
    <workbookView xWindow="0" yWindow="0" windowWidth="20490" windowHeight="7095" activeTab="2"/>
  </bookViews>
  <sheets>
    <sheet name="Заявка" sheetId="2" r:id="rId1"/>
    <sheet name="Группа" sheetId="11" r:id="rId2"/>
    <sheet name="Итог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1" l="1"/>
  <c r="K19" i="11" s="1"/>
  <c r="G18" i="11"/>
  <c r="G19" i="11" s="1"/>
  <c r="M16" i="11"/>
  <c r="M17" i="11" s="1"/>
  <c r="H16" i="11"/>
  <c r="H17" i="11" s="1"/>
  <c r="I14" i="11"/>
  <c r="I15" i="11" s="1"/>
  <c r="K12" i="11"/>
  <c r="K13" i="11" s="1"/>
  <c r="F12" i="11"/>
  <c r="F13" i="11" s="1"/>
  <c r="L10" i="11"/>
  <c r="L11" i="11" s="1"/>
  <c r="G10" i="11"/>
  <c r="G11" i="11" s="1"/>
  <c r="M8" i="11"/>
  <c r="M9" i="11" s="1"/>
  <c r="I8" i="11"/>
  <c r="I9" i="11" s="1"/>
  <c r="J6" i="11"/>
  <c r="J7" i="11" s="1"/>
  <c r="H62" i="11"/>
  <c r="K4" i="11"/>
  <c r="K5" i="11" s="1"/>
  <c r="G4" i="11"/>
  <c r="G5" i="11" s="1"/>
  <c r="C62" i="11"/>
  <c r="C56" i="11"/>
  <c r="C36" i="11"/>
  <c r="J18" i="11"/>
  <c r="J19" i="11" s="1"/>
  <c r="F18" i="11"/>
  <c r="F19" i="11" s="1"/>
  <c r="K16" i="11"/>
  <c r="K17" i="11" s="1"/>
  <c r="G16" i="11"/>
  <c r="G17" i="11" s="1"/>
  <c r="M14" i="11"/>
  <c r="M15" i="11" s="1"/>
  <c r="H14" i="11"/>
  <c r="H15" i="11" s="1"/>
  <c r="I12" i="11"/>
  <c r="I13" i="11" s="1"/>
  <c r="K10" i="11"/>
  <c r="K11" i="11" s="1"/>
  <c r="F10" i="11"/>
  <c r="F11" i="11" s="1"/>
  <c r="L8" i="11"/>
  <c r="L9" i="11" s="1"/>
  <c r="G8" i="11"/>
  <c r="G9" i="11" s="1"/>
  <c r="M6" i="11"/>
  <c r="M7" i="11" s="1"/>
  <c r="I6" i="11"/>
  <c r="I7" i="11" s="1"/>
  <c r="J4" i="11"/>
  <c r="J5" i="11" s="1"/>
  <c r="H63" i="11"/>
  <c r="H55" i="11"/>
  <c r="H49" i="11"/>
  <c r="H43" i="11"/>
  <c r="H39" i="11"/>
  <c r="H37" i="11"/>
  <c r="H33" i="11"/>
  <c r="H27" i="11"/>
  <c r="I18" i="11"/>
  <c r="I19" i="11" s="1"/>
  <c r="J16" i="11"/>
  <c r="J17" i="11" s="1"/>
  <c r="F16" i="11"/>
  <c r="F17" i="11" s="1"/>
  <c r="L14" i="11"/>
  <c r="L15" i="11" s="1"/>
  <c r="C45" i="11"/>
  <c r="C33" i="11"/>
  <c r="G14" i="11"/>
  <c r="G15" i="11" s="1"/>
  <c r="H12" i="11"/>
  <c r="H13" i="11" s="1"/>
  <c r="J10" i="11"/>
  <c r="J11" i="11" s="1"/>
  <c r="K8" i="11"/>
  <c r="K9" i="11" s="1"/>
  <c r="L6" i="11"/>
  <c r="L7" i="11" s="1"/>
  <c r="M4" i="11"/>
  <c r="M5" i="11" s="1"/>
  <c r="C55" i="11"/>
  <c r="C43" i="11"/>
  <c r="C31" i="11"/>
  <c r="F14" i="11"/>
  <c r="G12" i="11"/>
  <c r="G13" i="11" s="1"/>
  <c r="H10" i="11"/>
  <c r="H11" i="11" s="1"/>
  <c r="J8" i="11"/>
  <c r="J9" i="11" s="1"/>
  <c r="K6" i="11"/>
  <c r="K7" i="11" s="1"/>
  <c r="L4" i="11"/>
  <c r="L5" i="11" s="1"/>
  <c r="C63" i="11"/>
  <c r="C51" i="11"/>
  <c r="C39" i="11"/>
  <c r="L18" i="11"/>
  <c r="L19" i="11" s="1"/>
  <c r="F15" i="11"/>
  <c r="M12" i="11"/>
  <c r="M13" i="11" s="1"/>
  <c r="F8" i="11"/>
  <c r="F9" i="11" s="1"/>
  <c r="H6" i="11"/>
  <c r="H7" i="11" s="1"/>
  <c r="I4" i="11"/>
  <c r="I5" i="11" s="1"/>
  <c r="C61" i="11"/>
  <c r="C49" i="11"/>
  <c r="C25" i="11"/>
  <c r="H18" i="11"/>
  <c r="H19" i="11" s="1"/>
  <c r="I16" i="11"/>
  <c r="I17" i="11" s="1"/>
  <c r="J14" i="11"/>
  <c r="J15" i="11" s="1"/>
  <c r="L12" i="11"/>
  <c r="L13" i="11" s="1"/>
  <c r="M10" i="11"/>
  <c r="M11" i="11" s="1"/>
  <c r="F6" i="11"/>
  <c r="F7" i="11" s="1"/>
  <c r="H4" i="11"/>
  <c r="H5" i="11" s="1"/>
  <c r="H26" i="11"/>
  <c r="H42" i="11"/>
  <c r="C50" i="11"/>
  <c r="H30" i="11"/>
  <c r="H56" i="11"/>
  <c r="C24" i="11"/>
  <c r="C44" i="11"/>
  <c r="H50" i="11"/>
  <c r="C30" i="11"/>
  <c r="C42" i="11"/>
  <c r="C54" i="11"/>
  <c r="H24" i="11"/>
  <c r="H36" i="11"/>
  <c r="H48" i="11"/>
  <c r="H60" i="11"/>
  <c r="H25" i="11"/>
  <c r="H51" i="11"/>
  <c r="C32" i="11"/>
  <c r="H38" i="11"/>
  <c r="H54" i="11"/>
  <c r="C27" i="11"/>
  <c r="H31" i="11"/>
  <c r="H57" i="11"/>
  <c r="C38" i="11"/>
  <c r="C60" i="11"/>
  <c r="H44" i="11"/>
  <c r="C37" i="11"/>
  <c r="C57" i="11"/>
  <c r="H45" i="11"/>
  <c r="H61" i="11"/>
  <c r="C26" i="11"/>
  <c r="C48" i="11"/>
  <c r="H32" i="11"/>
  <c r="O7" i="11" l="1"/>
  <c r="N6" i="11"/>
  <c r="O9" i="11"/>
  <c r="N8" i="11"/>
  <c r="O15" i="11"/>
  <c r="N14" i="11"/>
  <c r="O17" i="11"/>
  <c r="N16" i="11"/>
  <c r="O11" i="11"/>
  <c r="N10" i="11"/>
  <c r="O19" i="11"/>
  <c r="N18" i="11"/>
  <c r="O5" i="11"/>
  <c r="N4" i="11"/>
  <c r="O13" i="11"/>
  <c r="N12" i="11"/>
</calcChain>
</file>

<file path=xl/sharedStrings.xml><?xml version="1.0" encoding="utf-8"?>
<sst xmlns="http://schemas.openxmlformats.org/spreadsheetml/2006/main" count="104" uniqueCount="47">
  <si>
    <t>Место</t>
  </si>
  <si>
    <t>Команда / участник</t>
  </si>
  <si>
    <t>№</t>
  </si>
  <si>
    <t>Участники</t>
  </si>
  <si>
    <t>Анапа</t>
  </si>
  <si>
    <t>Новороссийск</t>
  </si>
  <si>
    <t>МО</t>
  </si>
  <si>
    <t>Итоговые результаты</t>
  </si>
  <si>
    <t>Главный судья _________________________  Нечаев М. А.</t>
  </si>
  <si>
    <t>Заявочный лист</t>
  </si>
  <si>
    <t>Еремин Павел</t>
  </si>
  <si>
    <t>Лукин Сергей</t>
  </si>
  <si>
    <t>Нечаев Максим</t>
  </si>
  <si>
    <t>Помазан Геннадий</t>
  </si>
  <si>
    <t>Семченкова Марина</t>
  </si>
  <si>
    <t>Лукин</t>
  </si>
  <si>
    <t>Еремин</t>
  </si>
  <si>
    <t>Нечаев</t>
  </si>
  <si>
    <t>Семченкова</t>
  </si>
  <si>
    <t>рейтинг</t>
  </si>
  <si>
    <t>бонус
место</t>
  </si>
  <si>
    <t>рейтинг
итог</t>
  </si>
  <si>
    <t>Главный секретарь ______________________  Семченкова М.</t>
  </si>
  <si>
    <t>Помазан</t>
  </si>
  <si>
    <t>Турнир по петанку  "Каменный кубок", 2 этап</t>
  </si>
  <si>
    <t>Лукина Лариса</t>
  </si>
  <si>
    <t>Субанов Руслан</t>
  </si>
  <si>
    <t>Степанов Виталий</t>
  </si>
  <si>
    <t>Команда</t>
  </si>
  <si>
    <t>победы</t>
  </si>
  <si>
    <t>доп</t>
  </si>
  <si>
    <t>место</t>
  </si>
  <si>
    <t>Тур 1</t>
  </si>
  <si>
    <t>дор.</t>
  </si>
  <si>
    <t>Тур 2</t>
  </si>
  <si>
    <t>Тур 3</t>
  </si>
  <si>
    <t>Тур 4</t>
  </si>
  <si>
    <t>Тур 5</t>
  </si>
  <si>
    <t>Тур 6</t>
  </si>
  <si>
    <t>Тур 7</t>
  </si>
  <si>
    <t>Новороссийск 29.03.26</t>
  </si>
  <si>
    <t>Степанов</t>
  </si>
  <si>
    <t>Лукина</t>
  </si>
  <si>
    <t>Субанов</t>
  </si>
  <si>
    <t>0/2</t>
  </si>
  <si>
    <t>2/0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</si>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</sst>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+##;\-##;0"/>
    <numFmt numFmtId="165" formatCode="\+##;\-##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name val="Arial Cyr"/>
      <charset val="204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1"/>
      <name val="Arial Cyr"/>
      <charset val="204"/>
    </font>
    <font>
      <b/>
      <sz val="36"/>
      <color indexed="8"/>
      <name val="Calibri Light"/>
      <family val="1"/>
      <charset val="204"/>
      <scheme val="major"/>
    </font>
    <font>
      <sz val="18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18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0" fontId="1" fillId="0" borderId="0" xfId="0" applyFont="1"/>
    <xf numFmtId="0" fontId="0" fillId="0" borderId="1" xfId="0" applyBorder="1"/>
    <xf numFmtId="0" fontId="2" fillId="0" borderId="0" xfId="0" applyFont="1" applyBorder="1" applyAlignment="1"/>
    <xf numFmtId="0" fontId="0" fillId="0" borderId="0" xfId="0" applyAlignment="1"/>
    <xf numFmtId="0" fontId="1" fillId="0" borderId="0" xfId="0" applyFont="1" applyAlignment="1">
      <alignment horizontal="right"/>
    </xf>
    <xf numFmtId="0" fontId="7" fillId="0" borderId="0" xfId="0" applyFont="1"/>
    <xf numFmtId="0" fontId="0" fillId="0" borderId="0" xfId="0" applyAlignment="1"/>
    <xf numFmtId="14" fontId="3" fillId="0" borderId="1" xfId="0" applyNumberFormat="1" applyFont="1" applyBorder="1"/>
    <xf numFmtId="0" fontId="0" fillId="0" borderId="0" xfId="0"/>
    <xf numFmtId="0" fontId="8" fillId="0" borderId="1" xfId="0" applyFont="1" applyBorder="1"/>
    <xf numFmtId="0" fontId="2" fillId="0" borderId="0" xfId="0" applyFont="1" applyBorder="1" applyAlignment="1"/>
    <xf numFmtId="0" fontId="0" fillId="0" borderId="0" xfId="0" applyAlignment="1"/>
    <xf numFmtId="0" fontId="0" fillId="0" borderId="0" xfId="0" applyFont="1" applyAlignment="1">
      <alignment horizontal="right"/>
    </xf>
    <xf numFmtId="14" fontId="9" fillId="0" borderId="1" xfId="0" applyNumberFormat="1" applyFont="1" applyBorder="1"/>
    <xf numFmtId="0" fontId="1" fillId="0" borderId="1" xfId="0" applyFont="1" applyBorder="1" applyAlignment="1">
      <alignment wrapText="1"/>
    </xf>
    <xf numFmtId="0" fontId="0" fillId="0" borderId="0" xfId="0" applyAlignment="1"/>
    <xf numFmtId="0" fontId="4" fillId="0" borderId="0" xfId="0" applyFont="1" applyBorder="1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center"/>
    </xf>
    <xf numFmtId="0" fontId="0" fillId="0" borderId="5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13" xfId="0" applyFont="1" applyFill="1" applyBorder="1" applyAlignment="1">
      <alignment horizontal="left" vertical="center" wrapText="1" indent="1"/>
    </xf>
    <xf numFmtId="0" fontId="11" fillId="0" borderId="14" xfId="0" applyFont="1" applyFill="1" applyBorder="1" applyAlignment="1">
      <alignment horizontal="left" vertical="center" wrapText="1" indent="1"/>
    </xf>
    <xf numFmtId="0" fontId="11" fillId="0" borderId="15" xfId="0" applyFont="1" applyFill="1" applyBorder="1" applyAlignment="1">
      <alignment horizontal="left" vertical="center" wrapText="1" indent="1"/>
    </xf>
    <xf numFmtId="0" fontId="12" fillId="2" borderId="16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164" fontId="12" fillId="0" borderId="17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 indent="1"/>
    </xf>
    <xf numFmtId="0" fontId="11" fillId="0" borderId="21" xfId="0" applyFont="1" applyFill="1" applyBorder="1" applyAlignment="1">
      <alignment horizontal="left" vertical="center" wrapText="1" indent="1"/>
    </xf>
    <xf numFmtId="0" fontId="11" fillId="0" borderId="22" xfId="0" applyFont="1" applyFill="1" applyBorder="1" applyAlignment="1">
      <alignment horizontal="left" vertical="center" wrapText="1" indent="1"/>
    </xf>
    <xf numFmtId="165" fontId="12" fillId="2" borderId="23" xfId="0" applyNumberFormat="1" applyFont="1" applyFill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/>
    </xf>
    <xf numFmtId="164" fontId="12" fillId="0" borderId="24" xfId="0" applyNumberFormat="1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164" fontId="12" fillId="0" borderId="23" xfId="0" applyNumberFormat="1" applyFont="1" applyBorder="1" applyAlignment="1">
      <alignment horizontal="center" vertical="center"/>
    </xf>
    <xf numFmtId="165" fontId="12" fillId="2" borderId="1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165" fontId="12" fillId="2" borderId="4" xfId="0" applyNumberFormat="1" applyFont="1" applyFill="1" applyBorder="1" applyAlignment="1">
      <alignment horizontal="center" vertical="center"/>
    </xf>
    <xf numFmtId="165" fontId="12" fillId="0" borderId="4" xfId="0" applyNumberFormat="1" applyFont="1" applyFill="1" applyBorder="1" applyAlignment="1">
      <alignment horizontal="center" vertical="center"/>
    </xf>
    <xf numFmtId="165" fontId="12" fillId="0" borderId="24" xfId="0" applyNumberFormat="1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1" fillId="0" borderId="28" xfId="0" applyFont="1" applyFill="1" applyBorder="1" applyAlignment="1">
      <alignment horizontal="left" vertical="center" wrapText="1" indent="1"/>
    </xf>
    <xf numFmtId="0" fontId="11" fillId="0" borderId="29" xfId="0" applyFont="1" applyFill="1" applyBorder="1" applyAlignment="1">
      <alignment horizontal="left" vertical="center" wrapText="1" indent="1"/>
    </xf>
    <xf numFmtId="0" fontId="11" fillId="0" borderId="30" xfId="0" applyFont="1" applyFill="1" applyBorder="1" applyAlignment="1">
      <alignment horizontal="left" vertical="center" wrapText="1" indent="1"/>
    </xf>
    <xf numFmtId="0" fontId="12" fillId="0" borderId="1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Fill="1" applyBorder="1" applyAlignment="1">
      <alignment horizontal="left" vertical="center" wrapText="1" indent="1"/>
    </xf>
    <xf numFmtId="0" fontId="11" fillId="0" borderId="33" xfId="0" applyFont="1" applyFill="1" applyBorder="1" applyAlignment="1">
      <alignment horizontal="left" vertical="center" wrapText="1" indent="1"/>
    </xf>
    <xf numFmtId="0" fontId="11" fillId="0" borderId="34" xfId="0" applyFont="1" applyFill="1" applyBorder="1" applyAlignment="1">
      <alignment horizontal="left" vertical="center" wrapText="1" indent="1"/>
    </xf>
    <xf numFmtId="164" fontId="12" fillId="0" borderId="25" xfId="0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5" fontId="12" fillId="0" borderId="32" xfId="0" applyNumberFormat="1" applyFont="1" applyFill="1" applyBorder="1" applyAlignment="1">
      <alignment horizontal="center" vertical="center"/>
    </xf>
    <xf numFmtId="165" fontId="12" fillId="2" borderId="32" xfId="0" applyNumberFormat="1" applyFont="1" applyFill="1" applyBorder="1" applyAlignment="1">
      <alignment horizontal="center" vertical="center"/>
    </xf>
    <xf numFmtId="165" fontId="12" fillId="0" borderId="26" xfId="0" applyNumberFormat="1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1" fillId="0" borderId="37" xfId="0" applyFont="1" applyFill="1" applyBorder="1" applyAlignment="1">
      <alignment horizontal="left" vertical="center" wrapText="1" indent="1"/>
    </xf>
    <xf numFmtId="0" fontId="11" fillId="0" borderId="38" xfId="0" applyFont="1" applyFill="1" applyBorder="1" applyAlignment="1">
      <alignment horizontal="left" vertical="center" wrapText="1" indent="1"/>
    </xf>
    <xf numFmtId="0" fontId="11" fillId="0" borderId="39" xfId="0" applyFont="1" applyFill="1" applyBorder="1" applyAlignment="1">
      <alignment horizontal="left" vertical="center" wrapText="1" indent="1"/>
    </xf>
    <xf numFmtId="164" fontId="12" fillId="0" borderId="40" xfId="0" applyNumberFormat="1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165" fontId="12" fillId="0" borderId="37" xfId="0" applyNumberFormat="1" applyFont="1" applyFill="1" applyBorder="1" applyAlignment="1">
      <alignment horizontal="center" vertical="center"/>
    </xf>
    <xf numFmtId="165" fontId="12" fillId="2" borderId="41" xfId="0" applyNumberFormat="1" applyFont="1" applyFill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0" fillId="0" borderId="0" xfId="0" applyAlignment="1">
      <alignment horizontal="right" inden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164" fontId="12" fillId="3" borderId="1" xfId="0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64" fontId="12" fillId="3" borderId="4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164" fontId="12" fillId="3" borderId="35" xfId="0" applyNumberFormat="1" applyFont="1" applyFill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topLeftCell="A2" zoomScaleNormal="100" workbookViewId="0">
      <selection activeCell="B15" sqref="B15"/>
    </sheetView>
  </sheetViews>
  <sheetFormatPr defaultRowHeight="18.75" x14ac:dyDescent="0.3"/>
  <cols>
    <col min="1" max="1" width="6.85546875" style="2" customWidth="1"/>
    <col min="2" max="2" width="27.140625" style="2" customWidth="1"/>
    <col min="3" max="3" width="23.28515625" style="2" customWidth="1"/>
    <col min="4" max="4" width="14.5703125" style="2" customWidth="1"/>
    <col min="5" max="5" width="13.7109375" style="2" customWidth="1"/>
    <col min="6" max="16384" width="9.140625" style="2"/>
  </cols>
  <sheetData>
    <row r="1" spans="1:5" x14ac:dyDescent="0.3">
      <c r="A1" s="7"/>
      <c r="B1" s="8"/>
      <c r="C1" s="8"/>
      <c r="D1" s="8"/>
      <c r="E1" s="9"/>
    </row>
    <row r="2" spans="1:5" x14ac:dyDescent="0.3">
      <c r="A2" s="15"/>
      <c r="B2" s="16"/>
      <c r="C2" s="16"/>
      <c r="D2" s="16"/>
      <c r="E2" s="17" t="s">
        <v>40</v>
      </c>
    </row>
    <row r="3" spans="1:5" x14ac:dyDescent="0.3">
      <c r="A3" s="7"/>
      <c r="B3" s="8"/>
      <c r="C3" s="8"/>
      <c r="D3" s="8"/>
      <c r="E3" s="10"/>
    </row>
    <row r="4" spans="1:5" x14ac:dyDescent="0.3">
      <c r="A4" s="21" t="s">
        <v>24</v>
      </c>
      <c r="B4" s="21"/>
      <c r="C4" s="21"/>
      <c r="D4" s="21"/>
      <c r="E4" s="21"/>
    </row>
    <row r="6" spans="1:5" x14ac:dyDescent="0.3">
      <c r="A6" s="3"/>
      <c r="B6" s="3" t="s">
        <v>9</v>
      </c>
      <c r="C6" s="3"/>
      <c r="D6" s="3"/>
    </row>
    <row r="7" spans="1:5" x14ac:dyDescent="0.3">
      <c r="A7" s="1" t="s">
        <v>2</v>
      </c>
      <c r="B7" s="1" t="s">
        <v>3</v>
      </c>
      <c r="C7" s="1" t="s">
        <v>6</v>
      </c>
      <c r="D7" s="1" t="s">
        <v>19</v>
      </c>
    </row>
    <row r="8" spans="1:5" x14ac:dyDescent="0.3">
      <c r="A8" s="1">
        <v>1</v>
      </c>
      <c r="B8" s="1" t="s">
        <v>10</v>
      </c>
      <c r="C8" s="1" t="s">
        <v>5</v>
      </c>
      <c r="D8" s="1">
        <v>283</v>
      </c>
    </row>
    <row r="9" spans="1:5" x14ac:dyDescent="0.3">
      <c r="A9" s="1">
        <v>2</v>
      </c>
      <c r="B9" s="1" t="s">
        <v>13</v>
      </c>
      <c r="C9" s="1" t="s">
        <v>5</v>
      </c>
      <c r="D9" s="1">
        <v>259</v>
      </c>
    </row>
    <row r="10" spans="1:5" x14ac:dyDescent="0.3">
      <c r="A10" s="1">
        <v>3</v>
      </c>
      <c r="B10" s="1" t="s">
        <v>11</v>
      </c>
      <c r="C10" s="1" t="s">
        <v>4</v>
      </c>
      <c r="D10" s="1">
        <v>247</v>
      </c>
    </row>
    <row r="11" spans="1:5" x14ac:dyDescent="0.3">
      <c r="A11" s="1">
        <v>4</v>
      </c>
      <c r="B11" s="1" t="s">
        <v>12</v>
      </c>
      <c r="C11" s="1" t="s">
        <v>5</v>
      </c>
      <c r="D11" s="1">
        <v>228</v>
      </c>
    </row>
    <row r="12" spans="1:5" x14ac:dyDescent="0.3">
      <c r="A12" s="1">
        <v>5</v>
      </c>
      <c r="B12" s="1" t="s">
        <v>14</v>
      </c>
      <c r="C12" s="1" t="s">
        <v>5</v>
      </c>
      <c r="D12" s="1">
        <v>227</v>
      </c>
    </row>
    <row r="13" spans="1:5" x14ac:dyDescent="0.3">
      <c r="A13" s="1">
        <v>6</v>
      </c>
      <c r="B13" s="1" t="s">
        <v>25</v>
      </c>
      <c r="C13" s="1" t="s">
        <v>4</v>
      </c>
      <c r="D13" s="1">
        <v>198</v>
      </c>
    </row>
    <row r="14" spans="1:5" x14ac:dyDescent="0.3">
      <c r="A14" s="1">
        <v>7</v>
      </c>
      <c r="B14" s="1" t="s">
        <v>26</v>
      </c>
      <c r="C14" s="1" t="s">
        <v>5</v>
      </c>
      <c r="D14" s="1">
        <v>192</v>
      </c>
    </row>
    <row r="15" spans="1:5" x14ac:dyDescent="0.3">
      <c r="A15" s="1">
        <v>8</v>
      </c>
      <c r="B15" s="1" t="s">
        <v>27</v>
      </c>
      <c r="C15" s="1" t="s">
        <v>5</v>
      </c>
      <c r="D15" s="1">
        <v>8</v>
      </c>
    </row>
    <row r="16" spans="1:5" x14ac:dyDescent="0.3">
      <c r="A16" s="1">
        <v>9</v>
      </c>
      <c r="B16" s="1"/>
      <c r="C16" s="1"/>
      <c r="D16" s="1"/>
    </row>
    <row r="17" spans="1:4" x14ac:dyDescent="0.3">
      <c r="A17" s="1">
        <v>10</v>
      </c>
      <c r="B17" s="1"/>
      <c r="C17" s="1"/>
      <c r="D17" s="1"/>
    </row>
    <row r="18" spans="1:4" x14ac:dyDescent="0.3">
      <c r="A18" s="1"/>
      <c r="B18" s="1"/>
      <c r="C18" s="1"/>
      <c r="D18" s="1"/>
    </row>
    <row r="19" spans="1:4" x14ac:dyDescent="0.3">
      <c r="A19" s="1"/>
      <c r="B19" s="1"/>
      <c r="C19" s="1"/>
      <c r="D19" s="1"/>
    </row>
    <row r="20" spans="1:4" x14ac:dyDescent="0.3">
      <c r="A20" s="1"/>
      <c r="B20" s="1"/>
      <c r="C20" s="1"/>
      <c r="D20" s="1"/>
    </row>
    <row r="21" spans="1:4" x14ac:dyDescent="0.3">
      <c r="A21" s="1"/>
      <c r="B21" s="1"/>
      <c r="C21" s="1"/>
      <c r="D21" s="1"/>
    </row>
    <row r="22" spans="1:4" x14ac:dyDescent="0.3">
      <c r="A22" s="1"/>
      <c r="B22" s="1"/>
      <c r="C22" s="1"/>
      <c r="D22" s="1"/>
    </row>
    <row r="23" spans="1:4" x14ac:dyDescent="0.3">
      <c r="A23" s="1"/>
      <c r="B23" s="1"/>
      <c r="C23" s="1"/>
      <c r="D23" s="1"/>
    </row>
    <row r="24" spans="1:4" x14ac:dyDescent="0.3">
      <c r="A24" s="1"/>
      <c r="B24" s="1"/>
      <c r="C24" s="1"/>
      <c r="D24" s="1"/>
    </row>
    <row r="25" spans="1:4" x14ac:dyDescent="0.3">
      <c r="A25" s="1"/>
      <c r="B25" s="1"/>
      <c r="C25" s="1"/>
      <c r="D25" s="1"/>
    </row>
    <row r="26" spans="1:4" x14ac:dyDescent="0.3">
      <c r="A26" s="1"/>
      <c r="B26" s="1"/>
      <c r="C26" s="18"/>
      <c r="D26" s="1"/>
    </row>
    <row r="27" spans="1:4" x14ac:dyDescent="0.3">
      <c r="A27" s="1"/>
      <c r="B27" s="1"/>
      <c r="C27" s="18"/>
      <c r="D27" s="1"/>
    </row>
    <row r="28" spans="1:4" x14ac:dyDescent="0.3">
      <c r="A28" s="1"/>
      <c r="B28" s="1"/>
      <c r="C28" s="18"/>
      <c r="D28" s="1"/>
    </row>
    <row r="29" spans="1:4" x14ac:dyDescent="0.3">
      <c r="A29" s="1"/>
      <c r="B29" s="1"/>
      <c r="C29" s="18"/>
      <c r="D29" s="1"/>
    </row>
    <row r="30" spans="1:4" x14ac:dyDescent="0.3">
      <c r="A30" s="1"/>
      <c r="B30" s="1"/>
      <c r="C30" s="12"/>
      <c r="D30" s="1"/>
    </row>
    <row r="31" spans="1:4" x14ac:dyDescent="0.3">
      <c r="A31" s="1"/>
      <c r="B31" s="1"/>
      <c r="C31" s="12"/>
      <c r="D31" s="1"/>
    </row>
    <row r="32" spans="1:4" x14ac:dyDescent="0.3">
      <c r="A32" s="1">
        <v>13</v>
      </c>
      <c r="B32" s="1"/>
      <c r="C32" s="12"/>
      <c r="D32" s="1"/>
    </row>
    <row r="33" spans="1:5" x14ac:dyDescent="0.3">
      <c r="A33" s="1"/>
      <c r="B33" s="1"/>
      <c r="C33" s="12"/>
      <c r="D33" s="1"/>
    </row>
    <row r="34" spans="1:5" x14ac:dyDescent="0.3">
      <c r="A34" s="1">
        <v>14</v>
      </c>
      <c r="B34" s="1"/>
      <c r="C34" s="12"/>
      <c r="D34" s="1"/>
    </row>
    <row r="35" spans="1:5" x14ac:dyDescent="0.3">
      <c r="A35" s="1"/>
      <c r="B35" s="1"/>
      <c r="C35" s="12"/>
      <c r="D35" s="1"/>
    </row>
    <row r="36" spans="1:5" x14ac:dyDescent="0.3">
      <c r="A36" s="1">
        <v>15</v>
      </c>
      <c r="B36" s="1"/>
      <c r="C36" s="12"/>
      <c r="D36" s="1"/>
    </row>
    <row r="37" spans="1:5" x14ac:dyDescent="0.3">
      <c r="A37" s="1"/>
      <c r="B37" s="1"/>
      <c r="C37" s="12"/>
      <c r="D37" s="1"/>
    </row>
    <row r="38" spans="1:5" x14ac:dyDescent="0.3">
      <c r="A38" s="1">
        <v>16</v>
      </c>
      <c r="B38" s="1"/>
      <c r="C38" s="12"/>
      <c r="D38" s="1"/>
    </row>
    <row r="39" spans="1:5" x14ac:dyDescent="0.3">
      <c r="A39" s="1"/>
      <c r="B39" s="1"/>
      <c r="C39" s="12"/>
      <c r="D39" s="1"/>
    </row>
    <row r="40" spans="1:5" x14ac:dyDescent="0.3">
      <c r="A40" s="5"/>
      <c r="B40" s="5"/>
      <c r="C40" s="5"/>
      <c r="D40" s="5"/>
      <c r="E40" s="5"/>
    </row>
    <row r="41" spans="1:5" x14ac:dyDescent="0.3">
      <c r="A41" s="5"/>
      <c r="B41" s="5" t="s">
        <v>8</v>
      </c>
      <c r="C41" s="5"/>
      <c r="D41" s="5"/>
      <c r="E41" s="5"/>
    </row>
    <row r="42" spans="1:5" x14ac:dyDescent="0.3">
      <c r="A42" s="5"/>
      <c r="B42" s="5"/>
      <c r="C42" s="5"/>
      <c r="D42" s="5"/>
      <c r="E42" s="5"/>
    </row>
    <row r="43" spans="1:5" x14ac:dyDescent="0.3">
      <c r="A43" s="5"/>
      <c r="B43" s="5" t="s">
        <v>22</v>
      </c>
      <c r="C43" s="5"/>
      <c r="D43" s="5"/>
      <c r="E43" s="5"/>
    </row>
    <row r="44" spans="1:5" x14ac:dyDescent="0.3">
      <c r="A44" s="5"/>
      <c r="B44" s="5"/>
      <c r="C44" s="5"/>
      <c r="D44" s="5"/>
      <c r="E44" s="5"/>
    </row>
    <row r="45" spans="1:5" x14ac:dyDescent="0.3">
      <c r="A45" s="5"/>
      <c r="B45" s="5"/>
      <c r="C45" s="5"/>
      <c r="D45" s="5"/>
      <c r="E45" s="5"/>
    </row>
  </sheetData>
  <sortState ref="A8:E29">
    <sortCondition descending="1" ref="D8:D29"/>
  </sortState>
  <mergeCells count="1">
    <mergeCell ref="A4:E4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topLeftCell="B7" workbookViewId="0">
      <selection activeCell="P12" sqref="P12:P13"/>
    </sheetView>
  </sheetViews>
  <sheetFormatPr defaultRowHeight="15" x14ac:dyDescent="0.25"/>
  <cols>
    <col min="1" max="1" width="4" style="108" customWidth="1"/>
    <col min="2" max="12" width="10.28515625" style="13" customWidth="1"/>
    <col min="13" max="13" width="10.28515625" style="20" customWidth="1"/>
    <col min="14" max="15" width="10.28515625" style="13" customWidth="1"/>
    <col min="16" max="16384" width="9.140625" style="13"/>
  </cols>
  <sheetData>
    <row r="1" spans="1:16" ht="18.75" customHeight="1" x14ac:dyDescent="0.25">
      <c r="A1" s="13"/>
      <c r="B1" s="109"/>
      <c r="C1" s="109"/>
      <c r="D1" s="109"/>
      <c r="E1" s="109"/>
      <c r="F1" s="109"/>
      <c r="G1" s="109"/>
      <c r="H1" s="109"/>
      <c r="I1" s="109"/>
      <c r="J1" s="109"/>
      <c r="K1" s="109"/>
      <c r="M1" s="13"/>
      <c r="O1" s="13" t="s">
        <v>40</v>
      </c>
    </row>
    <row r="2" spans="1:16" ht="28.5" customHeight="1" thickBot="1" x14ac:dyDescent="0.35">
      <c r="A2" s="13"/>
      <c r="C2" s="110" t="s">
        <v>24</v>
      </c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6" ht="30" customHeight="1" thickBot="1" x14ac:dyDescent="0.3">
      <c r="A3" s="13"/>
      <c r="B3" s="24"/>
      <c r="C3" s="25" t="s">
        <v>28</v>
      </c>
      <c r="D3" s="26"/>
      <c r="E3" s="27"/>
      <c r="F3" s="28">
        <v>1</v>
      </c>
      <c r="G3" s="28">
        <v>2</v>
      </c>
      <c r="H3" s="28">
        <v>3</v>
      </c>
      <c r="I3" s="29">
        <v>4</v>
      </c>
      <c r="J3" s="29">
        <v>5</v>
      </c>
      <c r="K3" s="29">
        <v>6</v>
      </c>
      <c r="L3" s="29">
        <v>7</v>
      </c>
      <c r="M3" s="30">
        <v>8</v>
      </c>
      <c r="N3" s="31" t="s">
        <v>29</v>
      </c>
      <c r="O3" s="28" t="s">
        <v>30</v>
      </c>
      <c r="P3" s="30" t="s">
        <v>31</v>
      </c>
    </row>
    <row r="4" spans="1:16" ht="24" customHeight="1" x14ac:dyDescent="0.25">
      <c r="A4" s="13"/>
      <c r="B4" s="32">
        <v>1</v>
      </c>
      <c r="C4" s="33" t="s">
        <v>15</v>
      </c>
      <c r="D4" s="34"/>
      <c r="E4" s="35"/>
      <c r="F4" s="36"/>
      <c r="G4" s="37" t="str">
        <f ca="1">INDIRECT(ADDRESS(33,6))&amp;":"&amp;INDIRECT(ADDRESS(33,7))</f>
        <v>5:13</v>
      </c>
      <c r="H4" s="37" t="str">
        <f ca="1">INDIRECT(ADDRESS(37,7))&amp;":"&amp;INDIRECT(ADDRESS(37,6))</f>
        <v>13:5</v>
      </c>
      <c r="I4" s="37" t="str">
        <f ca="1">INDIRECT(ADDRESS(44,6))&amp;":"&amp;INDIRECT(ADDRESS(44,7))</f>
        <v>13:10</v>
      </c>
      <c r="J4" s="37" t="str">
        <f ca="1">INDIRECT(ADDRESS(50,7))&amp;":"&amp;INDIRECT(ADDRESS(50,6))</f>
        <v>13:7</v>
      </c>
      <c r="K4" s="38" t="str">
        <f ca="1">INDIRECT(ADDRESS(55,6))&amp;":"&amp;INDIRECT(ADDRESS(55,7))</f>
        <v>4:13</v>
      </c>
      <c r="L4" s="38" t="str">
        <f ca="1">INDIRECT(ADDRESS(63,7))&amp;":"&amp;INDIRECT(ADDRESS(63,6))</f>
        <v>12:13</v>
      </c>
      <c r="M4" s="39" t="str">
        <f ca="1">INDIRECT(ADDRESS(24,6))&amp;":"&amp;INDIRECT(ADDRESS(24,7))</f>
        <v>13:8</v>
      </c>
      <c r="N4" s="40">
        <f ca="1">IF(COUNT(F5:M5)=0,"",COUNTIF(F5:M5,"&gt;0")+0.5*COUNTIF(F5:M5,0))</f>
        <v>4</v>
      </c>
      <c r="O4" s="41"/>
      <c r="P4" s="42">
        <v>3</v>
      </c>
    </row>
    <row r="5" spans="1:16" ht="24" customHeight="1" x14ac:dyDescent="0.25">
      <c r="A5" s="13"/>
      <c r="B5" s="43"/>
      <c r="C5" s="44"/>
      <c r="D5" s="45"/>
      <c r="E5" s="46"/>
      <c r="F5" s="47"/>
      <c r="G5" s="48">
        <f ca="1">IF(LEN(INDIRECT(ADDRESS(ROW()-1, COLUMN())))=1,"",INDIRECT(ADDRESS(33,6))-INDIRECT(ADDRESS(33,7)))</f>
        <v>-8</v>
      </c>
      <c r="H5" s="48">
        <f ca="1">IF(LEN(INDIRECT(ADDRESS(ROW()-1, COLUMN())))=1,"",INDIRECT(ADDRESS(37,7))-INDIRECT(ADDRESS(37,6)))</f>
        <v>8</v>
      </c>
      <c r="I5" s="48">
        <f ca="1">IF(LEN(INDIRECT(ADDRESS(ROW()-1, COLUMN())))=1,"",INDIRECT(ADDRESS(44,6))-INDIRECT(ADDRESS(44,7)))</f>
        <v>3</v>
      </c>
      <c r="J5" s="48">
        <f ca="1">IF(LEN(INDIRECT(ADDRESS(ROW()-1, COLUMN())))=1,"",INDIRECT(ADDRESS(50,7))-INDIRECT(ADDRESS(50,6)))</f>
        <v>6</v>
      </c>
      <c r="K5" s="49">
        <f ca="1">IF(LEN(INDIRECT(ADDRESS(ROW()-1, COLUMN())))=1,"",INDIRECT(ADDRESS(55,6))-INDIRECT(ADDRESS(55,7)))</f>
        <v>-9</v>
      </c>
      <c r="L5" s="49">
        <f ca="1">IF(LEN(INDIRECT(ADDRESS(ROW()-1, COLUMN())))=1,"",INDIRECT(ADDRESS(63,7))-INDIRECT(ADDRESS(63,6)))</f>
        <v>-1</v>
      </c>
      <c r="M5" s="50">
        <f ca="1">IF(LEN(INDIRECT(ADDRESS(ROW()-1, COLUMN())))=1,"",INDIRECT(ADDRESS(24,6))-INDIRECT(ADDRESS(24,7)))</f>
        <v>5</v>
      </c>
      <c r="N5" s="51"/>
      <c r="O5" s="48">
        <f ca="1">IF(COUNT(F5:M5)=0,"",SUM(F5:M5))</f>
        <v>4</v>
      </c>
      <c r="P5" s="52"/>
    </row>
    <row r="6" spans="1:16" ht="24" customHeight="1" x14ac:dyDescent="0.25">
      <c r="A6" s="13"/>
      <c r="B6" s="53">
        <v>2</v>
      </c>
      <c r="C6" s="44" t="s">
        <v>18</v>
      </c>
      <c r="D6" s="45"/>
      <c r="E6" s="46"/>
      <c r="F6" s="54" t="str">
        <f ca="1">INDIRECT(ADDRESS(33,7))&amp;":"&amp;INDIRECT(ADDRESS(33,6))</f>
        <v>13:5</v>
      </c>
      <c r="G6" s="55"/>
      <c r="H6" s="56" t="str">
        <f ca="1">INDIRECT(ADDRESS(45,6))&amp;":"&amp;INDIRECT(ADDRESS(45,7))</f>
        <v>13:5</v>
      </c>
      <c r="I6" s="56" t="str">
        <f ca="1">INDIRECT(ADDRESS(49,7))&amp;":"&amp;INDIRECT(ADDRESS(49,6))</f>
        <v>5:13</v>
      </c>
      <c r="J6" s="56" t="str">
        <f ca="1">INDIRECT(ADDRESS(56,6))&amp;":"&amp;INDIRECT(ADDRESS(56,7))</f>
        <v>13:5</v>
      </c>
      <c r="K6" s="57" t="str">
        <f ca="1">INDIRECT(ADDRESS(62,7))&amp;":"&amp;INDIRECT(ADDRESS(62,6))</f>
        <v>6:13</v>
      </c>
      <c r="L6" s="57" t="str">
        <f ca="1">INDIRECT(ADDRESS(25,6))&amp;":"&amp;INDIRECT(ADDRESS(25,7))</f>
        <v>11:9</v>
      </c>
      <c r="M6" s="58" t="str">
        <f ca="1">INDIRECT(ADDRESS(36,6))&amp;":"&amp;INDIRECT(ADDRESS(36,7))</f>
        <v>13:7</v>
      </c>
      <c r="N6" s="51">
        <f ca="1">IF(COUNT(F7:M7)=0,"",COUNTIF(F7:M7,"&gt;0")+0.5*COUNTIF(F7:M7,0))</f>
        <v>5</v>
      </c>
      <c r="O6" s="48"/>
      <c r="P6" s="59">
        <v>2</v>
      </c>
    </row>
    <row r="7" spans="1:16" ht="24" customHeight="1" x14ac:dyDescent="0.25">
      <c r="A7" s="13"/>
      <c r="B7" s="43"/>
      <c r="C7" s="44"/>
      <c r="D7" s="45"/>
      <c r="E7" s="46"/>
      <c r="F7" s="60">
        <f ca="1">IF(LEN(INDIRECT(ADDRESS(ROW()-1, COLUMN())))=1,"",INDIRECT(ADDRESS(33,7))-INDIRECT(ADDRESS(33,6)))</f>
        <v>8</v>
      </c>
      <c r="G7" s="61"/>
      <c r="H7" s="48">
        <f ca="1">IF(LEN(INDIRECT(ADDRESS(ROW()-1, COLUMN())))=1,"",INDIRECT(ADDRESS(45,6))-INDIRECT(ADDRESS(45,7)))</f>
        <v>8</v>
      </c>
      <c r="I7" s="48">
        <f ca="1">IF(LEN(INDIRECT(ADDRESS(ROW()-1, COLUMN())))=1,"",INDIRECT(ADDRESS(49,7))-INDIRECT(ADDRESS(49,6)))</f>
        <v>-8</v>
      </c>
      <c r="J7" s="48">
        <f ca="1">IF(LEN(INDIRECT(ADDRESS(ROW()-1, COLUMN())))=1,"",INDIRECT(ADDRESS(56,6))-INDIRECT(ADDRESS(56,7)))</f>
        <v>8</v>
      </c>
      <c r="K7" s="49">
        <f ca="1">IF(LEN(INDIRECT(ADDRESS(ROW()-1, COLUMN())))=1,"",INDIRECT(ADDRESS(62,7))-INDIRECT(ADDRESS(62,6)))</f>
        <v>-7</v>
      </c>
      <c r="L7" s="49">
        <f ca="1">IF(LEN(INDIRECT(ADDRESS(ROW()-1, COLUMN())))=1,"",INDIRECT(ADDRESS(25,6))-INDIRECT(ADDRESS(25,7)))</f>
        <v>2</v>
      </c>
      <c r="M7" s="50">
        <f ca="1">IF(LEN(INDIRECT(ADDRESS(ROW()-1, COLUMN())))=1,"",INDIRECT(ADDRESS(36,6))-INDIRECT(ADDRESS(36,7)))</f>
        <v>6</v>
      </c>
      <c r="N7" s="51"/>
      <c r="O7" s="48">
        <f ca="1">IF(COUNT(F7:M7)=0,"",SUM(F7:M7))</f>
        <v>17</v>
      </c>
      <c r="P7" s="52"/>
    </row>
    <row r="8" spans="1:16" ht="24" customHeight="1" x14ac:dyDescent="0.25">
      <c r="A8" s="13"/>
      <c r="B8" s="53">
        <v>3</v>
      </c>
      <c r="C8" s="44" t="s">
        <v>41</v>
      </c>
      <c r="D8" s="45"/>
      <c r="E8" s="46"/>
      <c r="F8" s="54" t="str">
        <f ca="1">INDIRECT(ADDRESS(37,6))&amp;":"&amp;INDIRECT(ADDRESS(37,7))</f>
        <v>5:13</v>
      </c>
      <c r="G8" s="56" t="str">
        <f ca="1">INDIRECT(ADDRESS(45,7))&amp;":"&amp;INDIRECT(ADDRESS(45,6))</f>
        <v>5:13</v>
      </c>
      <c r="H8" s="55"/>
      <c r="I8" s="56" t="str">
        <f ca="1">INDIRECT(ADDRESS(57,6))&amp;":"&amp;INDIRECT(ADDRESS(57,7))</f>
        <v>7:13</v>
      </c>
      <c r="J8" s="56" t="str">
        <f ca="1">INDIRECT(ADDRESS(61,7))&amp;":"&amp;INDIRECT(ADDRESS(61,6))</f>
        <v>10:13</v>
      </c>
      <c r="K8" s="57" t="str">
        <f ca="1">INDIRECT(ADDRESS(26,6))&amp;":"&amp;INDIRECT(ADDRESS(26,7))</f>
        <v>4:13</v>
      </c>
      <c r="L8" s="57" t="str">
        <f ca="1">INDIRECT(ADDRESS(32,7))&amp;":"&amp;INDIRECT(ADDRESS(32,6))</f>
        <v>13:9</v>
      </c>
      <c r="M8" s="58" t="str">
        <f ca="1">INDIRECT(ADDRESS(48,6))&amp;":"&amp;INDIRECT(ADDRESS(48,7))</f>
        <v>6:13</v>
      </c>
      <c r="N8" s="51">
        <f ca="1">IF(COUNT(F9:M9)=0,"",COUNTIF(F9:M9,"&gt;0")+0.5*COUNTIF(F9:M9,0))</f>
        <v>1</v>
      </c>
      <c r="O8" s="48"/>
      <c r="P8" s="59">
        <v>8</v>
      </c>
    </row>
    <row r="9" spans="1:16" ht="24" customHeight="1" x14ac:dyDescent="0.25">
      <c r="A9" s="13"/>
      <c r="B9" s="43"/>
      <c r="C9" s="44"/>
      <c r="D9" s="45"/>
      <c r="E9" s="46"/>
      <c r="F9" s="60">
        <f ca="1">IF(LEN(INDIRECT(ADDRESS(ROW()-1, COLUMN())))=1,"",INDIRECT(ADDRESS(37,6))-INDIRECT(ADDRESS(37,7)))</f>
        <v>-8</v>
      </c>
      <c r="G9" s="48">
        <f ca="1">IF(LEN(INDIRECT(ADDRESS(ROW()-1, COLUMN())))=1,"",INDIRECT(ADDRESS(45,7))-INDIRECT(ADDRESS(45,6)))</f>
        <v>-8</v>
      </c>
      <c r="H9" s="61"/>
      <c r="I9" s="48">
        <f ca="1">IF(LEN(INDIRECT(ADDRESS(ROW()-1, COLUMN())))=1,"",INDIRECT(ADDRESS(57,6))-INDIRECT(ADDRESS(57,7)))</f>
        <v>-6</v>
      </c>
      <c r="J9" s="48">
        <f ca="1">IF(LEN(INDIRECT(ADDRESS(ROW()-1, COLUMN())))=1,"",INDIRECT(ADDRESS(61,7))-INDIRECT(ADDRESS(61,6)))</f>
        <v>-3</v>
      </c>
      <c r="K9" s="49">
        <f ca="1">IF(LEN(INDIRECT(ADDRESS(ROW()-1, COLUMN())))=1,"",INDIRECT(ADDRESS(26,6))-INDIRECT(ADDRESS(26,7)))</f>
        <v>-9</v>
      </c>
      <c r="L9" s="49">
        <f ca="1">IF(LEN(INDIRECT(ADDRESS(ROW()-1, COLUMN())))=1,"",INDIRECT(ADDRESS(32,7))-INDIRECT(ADDRESS(32,6)))</f>
        <v>4</v>
      </c>
      <c r="M9" s="50">
        <f ca="1">IF(LEN(INDIRECT(ADDRESS(ROW()-1, COLUMN())))=1,"",INDIRECT(ADDRESS(48,6))-INDIRECT(ADDRESS(48,7)))</f>
        <v>-7</v>
      </c>
      <c r="N9" s="51"/>
      <c r="O9" s="48">
        <f ca="1">IF(COUNT(F9:M9)=0,"",SUM(F9:M9))</f>
        <v>-37</v>
      </c>
      <c r="P9" s="52"/>
    </row>
    <row r="10" spans="1:16" ht="24" customHeight="1" x14ac:dyDescent="0.25">
      <c r="A10" s="13"/>
      <c r="B10" s="53">
        <v>4</v>
      </c>
      <c r="C10" s="44" t="s">
        <v>17</v>
      </c>
      <c r="D10" s="45"/>
      <c r="E10" s="46"/>
      <c r="F10" s="54" t="str">
        <f ca="1">INDIRECT(ADDRESS(44,7))&amp;":"&amp;INDIRECT(ADDRESS(44,6))</f>
        <v>10:13</v>
      </c>
      <c r="G10" s="56" t="str">
        <f ca="1">INDIRECT(ADDRESS(49,6))&amp;":"&amp;INDIRECT(ADDRESS(49,7))</f>
        <v>13:5</v>
      </c>
      <c r="H10" s="56" t="str">
        <f ca="1">INDIRECT(ADDRESS(57,7))&amp;":"&amp;INDIRECT(ADDRESS(57,6))</f>
        <v>13:7</v>
      </c>
      <c r="I10" s="55"/>
      <c r="J10" s="111" t="str">
        <f ca="1">INDIRECT(ADDRESS(27,6))&amp;":"&amp;INDIRECT(ADDRESS(27,7))</f>
        <v>2:13</v>
      </c>
      <c r="K10" s="57" t="str">
        <f ca="1">INDIRECT(ADDRESS(31,7))&amp;":"&amp;INDIRECT(ADDRESS(31,6))</f>
        <v>7:13</v>
      </c>
      <c r="L10" s="113" t="str">
        <f ca="1">INDIRECT(ADDRESS(38,6))&amp;":"&amp;INDIRECT(ADDRESS(38,7))</f>
        <v>12:13</v>
      </c>
      <c r="M10" s="58" t="str">
        <f ca="1">INDIRECT(ADDRESS(60,6))&amp;":"&amp;INDIRECT(ADDRESS(60,7))</f>
        <v>13:11</v>
      </c>
      <c r="N10" s="51">
        <f ca="1">IF(COUNT(F11:M11)=0,"",COUNTIF(F11:M11,"&gt;0")+0.5*COUNTIF(F11:M11,0))</f>
        <v>3</v>
      </c>
      <c r="O10" s="48" t="s">
        <v>44</v>
      </c>
      <c r="P10" s="59">
        <v>6</v>
      </c>
    </row>
    <row r="11" spans="1:16" ht="24" customHeight="1" x14ac:dyDescent="0.25">
      <c r="A11" s="13"/>
      <c r="B11" s="43"/>
      <c r="C11" s="44"/>
      <c r="D11" s="45"/>
      <c r="E11" s="46"/>
      <c r="F11" s="60">
        <f ca="1">IF(LEN(INDIRECT(ADDRESS(ROW()-1, COLUMN())))=1,"",INDIRECT(ADDRESS(44,7))-INDIRECT(ADDRESS(44,6)))</f>
        <v>-3</v>
      </c>
      <c r="G11" s="48">
        <f ca="1">IF(LEN(INDIRECT(ADDRESS(ROW()-1, COLUMN())))=1,"",INDIRECT(ADDRESS(49,6))-INDIRECT(ADDRESS(49,7)))</f>
        <v>8</v>
      </c>
      <c r="H11" s="48">
        <f ca="1">IF(LEN(INDIRECT(ADDRESS(ROW()-1, COLUMN())))=1,"",INDIRECT(ADDRESS(57,7))-INDIRECT(ADDRESS(57,6)))</f>
        <v>6</v>
      </c>
      <c r="I11" s="61"/>
      <c r="J11" s="112">
        <f ca="1">IF(LEN(INDIRECT(ADDRESS(ROW()-1, COLUMN())))=1,"",INDIRECT(ADDRESS(27,6))-INDIRECT(ADDRESS(27,7)))</f>
        <v>-11</v>
      </c>
      <c r="K11" s="49">
        <f ca="1">IF(LEN(INDIRECT(ADDRESS(ROW()-1, COLUMN())))=1,"",INDIRECT(ADDRESS(31,7))-INDIRECT(ADDRESS(31,6)))</f>
        <v>-6</v>
      </c>
      <c r="L11" s="114">
        <f ca="1">IF(LEN(INDIRECT(ADDRESS(ROW()-1, COLUMN())))=1,"",INDIRECT(ADDRESS(38,6))-INDIRECT(ADDRESS(38,7)))</f>
        <v>-1</v>
      </c>
      <c r="M11" s="50">
        <f ca="1">IF(LEN(INDIRECT(ADDRESS(ROW()-1, COLUMN())))=1,"",INDIRECT(ADDRESS(60,6))-INDIRECT(ADDRESS(60,7)))</f>
        <v>2</v>
      </c>
      <c r="N11" s="51"/>
      <c r="O11" s="48">
        <f ca="1">IF(COUNT(F11:M11)=0,"",SUM(F11:M11))</f>
        <v>-5</v>
      </c>
      <c r="P11" s="52"/>
    </row>
    <row r="12" spans="1:16" ht="24" customHeight="1" x14ac:dyDescent="0.25">
      <c r="A12" s="13"/>
      <c r="B12" s="53">
        <v>5</v>
      </c>
      <c r="C12" s="44" t="s">
        <v>42</v>
      </c>
      <c r="D12" s="45"/>
      <c r="E12" s="46"/>
      <c r="F12" s="54" t="str">
        <f ca="1">INDIRECT(ADDRESS(50,6))&amp;":"&amp;INDIRECT(ADDRESS(50,7))</f>
        <v>7:13</v>
      </c>
      <c r="G12" s="56" t="str">
        <f ca="1">INDIRECT(ADDRESS(56,7))&amp;":"&amp;INDIRECT(ADDRESS(56,6))</f>
        <v>5:13</v>
      </c>
      <c r="H12" s="56" t="str">
        <f ca="1">INDIRECT(ADDRESS(61,6))&amp;":"&amp;INDIRECT(ADDRESS(61,7))</f>
        <v>13:10</v>
      </c>
      <c r="I12" s="111" t="str">
        <f ca="1">INDIRECT(ADDRESS(27,7))&amp;":"&amp;INDIRECT(ADDRESS(27,6))</f>
        <v>13:2</v>
      </c>
      <c r="J12" s="55"/>
      <c r="K12" s="57" t="str">
        <f ca="1">INDIRECT(ADDRESS(39,6))&amp;":"&amp;INDIRECT(ADDRESS(39,7))</f>
        <v>1:13</v>
      </c>
      <c r="L12" s="113" t="str">
        <f ca="1">INDIRECT(ADDRESS(43,7))&amp;":"&amp;INDIRECT(ADDRESS(43,6))</f>
        <v>13:10</v>
      </c>
      <c r="M12" s="58" t="str">
        <f ca="1">INDIRECT(ADDRESS(30,7))&amp;":"&amp;INDIRECT(ADDRESS(30,6))</f>
        <v>7:13</v>
      </c>
      <c r="N12" s="51">
        <f ca="1">IF(COUNT(F13:M13)=0,"",COUNTIF(F13:M13,"&gt;0")+0.5*COUNTIF(F13:M13,0))</f>
        <v>3</v>
      </c>
      <c r="O12" s="48" t="s">
        <v>45</v>
      </c>
      <c r="P12" s="59">
        <v>4</v>
      </c>
    </row>
    <row r="13" spans="1:16" ht="24" customHeight="1" x14ac:dyDescent="0.25">
      <c r="A13" s="13"/>
      <c r="B13" s="43"/>
      <c r="C13" s="44"/>
      <c r="D13" s="45"/>
      <c r="E13" s="46"/>
      <c r="F13" s="60">
        <f ca="1">IF(LEN(INDIRECT(ADDRESS(ROW()-1, COLUMN())))=1,"",INDIRECT(ADDRESS(50,6))-INDIRECT(ADDRESS(50,7)))</f>
        <v>-6</v>
      </c>
      <c r="G13" s="48">
        <f ca="1">IF(LEN(INDIRECT(ADDRESS(ROW()-1, COLUMN())))=1,"",INDIRECT(ADDRESS(56,7))-INDIRECT(ADDRESS(56,6)))</f>
        <v>-8</v>
      </c>
      <c r="H13" s="48">
        <f ca="1">IF(LEN(INDIRECT(ADDRESS(ROW()-1, COLUMN())))=1,"",INDIRECT(ADDRESS(61,6))-INDIRECT(ADDRESS(61,7)))</f>
        <v>3</v>
      </c>
      <c r="I13" s="112">
        <f ca="1">IF(LEN(INDIRECT(ADDRESS(ROW()-1, COLUMN())))=1,"",INDIRECT(ADDRESS(27,7))-INDIRECT(ADDRESS(27,6)))</f>
        <v>11</v>
      </c>
      <c r="J13" s="61"/>
      <c r="K13" s="49">
        <f ca="1">IF(LEN(INDIRECT(ADDRESS(ROW()-1, COLUMN())))=1,"",INDIRECT(ADDRESS(39,6))-INDIRECT(ADDRESS(39,7)))</f>
        <v>-12</v>
      </c>
      <c r="L13" s="114">
        <f ca="1">IF(LEN(INDIRECT(ADDRESS(ROW()-1, COLUMN())))=1,"",INDIRECT(ADDRESS(43,7))-INDIRECT(ADDRESS(43,6)))</f>
        <v>3</v>
      </c>
      <c r="M13" s="50">
        <f ca="1">IF(LEN(INDIRECT(ADDRESS(ROW()-1, COLUMN())))=1,"",INDIRECT(ADDRESS(30,7))-INDIRECT(ADDRESS(30,6)))</f>
        <v>-6</v>
      </c>
      <c r="N13" s="51"/>
      <c r="O13" s="48">
        <f ca="1">IF(COUNT(F13:M13)=0,"",SUM(F13:M13))</f>
        <v>-15</v>
      </c>
      <c r="P13" s="52"/>
    </row>
    <row r="14" spans="1:16" ht="24" customHeight="1" x14ac:dyDescent="0.25">
      <c r="A14" s="13"/>
      <c r="B14" s="53">
        <v>6</v>
      </c>
      <c r="C14" s="44" t="s">
        <v>16</v>
      </c>
      <c r="D14" s="45"/>
      <c r="E14" s="46"/>
      <c r="F14" s="54" t="str">
        <f ca="1">INDIRECT(ADDRESS(55,7))&amp;":"&amp;INDIRECT(ADDRESS(55,6))</f>
        <v>13:4</v>
      </c>
      <c r="G14" s="56" t="str">
        <f ca="1">INDIRECT(ADDRESS(62,6))&amp;":"&amp;INDIRECT(ADDRESS(62,7))</f>
        <v>13:6</v>
      </c>
      <c r="H14" s="56" t="str">
        <f ca="1">INDIRECT(ADDRESS(26,7))&amp;":"&amp;INDIRECT(ADDRESS(26,6))</f>
        <v>13:4</v>
      </c>
      <c r="I14" s="56" t="str">
        <f ca="1">INDIRECT(ADDRESS(31,6))&amp;":"&amp;INDIRECT(ADDRESS(31,7))</f>
        <v>13:7</v>
      </c>
      <c r="J14" s="56" t="str">
        <f ca="1">INDIRECT(ADDRESS(39,7))&amp;":"&amp;INDIRECT(ADDRESS(39,6))</f>
        <v>13:1</v>
      </c>
      <c r="K14" s="62"/>
      <c r="L14" s="63" t="str">
        <f ca="1">INDIRECT(ADDRESS(51,6))&amp;":"&amp;INDIRECT(ADDRESS(51,7))</f>
        <v>13:4</v>
      </c>
      <c r="M14" s="64" t="str">
        <f ca="1">INDIRECT(ADDRESS(42,7))&amp;":"&amp;INDIRECT(ADDRESS(42,6))</f>
        <v>13:10</v>
      </c>
      <c r="N14" s="51">
        <f ca="1">IF(COUNT(F15:M15)=0,"",COUNTIF(F15:M15,"&gt;0")+0.5*COUNTIF(F15:M15,0))</f>
        <v>7</v>
      </c>
      <c r="O14" s="48"/>
      <c r="P14" s="59">
        <v>1</v>
      </c>
    </row>
    <row r="15" spans="1:16" ht="24" customHeight="1" x14ac:dyDescent="0.25">
      <c r="A15" s="13"/>
      <c r="B15" s="43"/>
      <c r="C15" s="44"/>
      <c r="D15" s="45"/>
      <c r="E15" s="46"/>
      <c r="F15" s="60">
        <f ca="1">IF(LEN(INDIRECT(ADDRESS(ROW()-1, COLUMN())))=1,"",INDIRECT(ADDRESS(55,7))-INDIRECT(ADDRESS(55,6)))</f>
        <v>9</v>
      </c>
      <c r="G15" s="48">
        <f ca="1">IF(LEN(INDIRECT(ADDRESS(ROW()-1, COLUMN())))=1,"",INDIRECT(ADDRESS(62,6))-INDIRECT(ADDRESS(62,7)))</f>
        <v>7</v>
      </c>
      <c r="H15" s="48">
        <f ca="1">IF(LEN(INDIRECT(ADDRESS(ROW()-1, COLUMN())))=1,"",INDIRECT(ADDRESS(26,7))-INDIRECT(ADDRESS(26,6)))</f>
        <v>9</v>
      </c>
      <c r="I15" s="48">
        <f ca="1">IF(LEN(INDIRECT(ADDRESS(ROW()-1, COLUMN())))=1,"",INDIRECT(ADDRESS(31,6))-INDIRECT(ADDRESS(31,7)))</f>
        <v>6</v>
      </c>
      <c r="J15" s="48">
        <f ca="1">IF(LEN(INDIRECT(ADDRESS(ROW()-1, COLUMN())))=1,"",INDIRECT(ADDRESS(39,7))-INDIRECT(ADDRESS(39,6)))</f>
        <v>12</v>
      </c>
      <c r="K15" s="65"/>
      <c r="L15" s="66">
        <f ca="1">IF(LEN(INDIRECT(ADDRESS(ROW()-1, COLUMN())))=1,"",INDIRECT(ADDRESS(51,6))-INDIRECT(ADDRESS(51,7)))</f>
        <v>9</v>
      </c>
      <c r="M15" s="67">
        <f ca="1">IF(LEN(INDIRECT(ADDRESS(ROW()-1, COLUMN())))=1,"",INDIRECT(ADDRESS(42,7))-INDIRECT(ADDRESS(42,6)))</f>
        <v>3</v>
      </c>
      <c r="N15" s="51"/>
      <c r="O15" s="48">
        <f ca="1">IF(COUNT(F15:M15)=0,"",SUM(F15:M15))</f>
        <v>55</v>
      </c>
      <c r="P15" s="52"/>
    </row>
    <row r="16" spans="1:16" ht="24" customHeight="1" x14ac:dyDescent="0.25">
      <c r="A16" s="13"/>
      <c r="B16" s="68">
        <v>7</v>
      </c>
      <c r="C16" s="69" t="s">
        <v>43</v>
      </c>
      <c r="D16" s="70"/>
      <c r="E16" s="71"/>
      <c r="F16" s="72" t="str">
        <f ca="1">INDIRECT(ADDRESS(63,6))&amp;":"&amp;INDIRECT(ADDRESS(63,7))</f>
        <v>13:12</v>
      </c>
      <c r="G16" s="73" t="str">
        <f ca="1">INDIRECT(ADDRESS(25,7))&amp;":"&amp;INDIRECT(ADDRESS(25,6))</f>
        <v>9:11</v>
      </c>
      <c r="H16" s="73" t="str">
        <f ca="1">INDIRECT(ADDRESS(32,6))&amp;":"&amp;INDIRECT(ADDRESS(32,7))</f>
        <v>9:13</v>
      </c>
      <c r="I16" s="115" t="str">
        <f ca="1">INDIRECT(ADDRESS(38,7))&amp;":"&amp;INDIRECT(ADDRESS(38,6))</f>
        <v>13:12</v>
      </c>
      <c r="J16" s="115" t="str">
        <f ca="1">INDIRECT(ADDRESS(43,6))&amp;":"&amp;INDIRECT(ADDRESS(43,7))</f>
        <v>10:13</v>
      </c>
      <c r="K16" s="74" t="str">
        <f ca="1">INDIRECT(ADDRESS(51,7))&amp;":"&amp;INDIRECT(ADDRESS(51,6))</f>
        <v>4:13</v>
      </c>
      <c r="L16" s="75"/>
      <c r="M16" s="76" t="str">
        <f ca="1">INDIRECT(ADDRESS(54,7))&amp;":"&amp;INDIRECT(ADDRESS(54,6))</f>
        <v>13:12</v>
      </c>
      <c r="N16" s="51">
        <f ca="1">IF(COUNT(F17:M17)=0,"",COUNTIF(F17:M17,"&gt;0")+0.5*COUNTIF(F17:M17,0))</f>
        <v>3</v>
      </c>
      <c r="O16" s="117" t="s">
        <v>46</v>
      </c>
      <c r="P16" s="77">
        <v>5</v>
      </c>
    </row>
    <row r="17" spans="1:16" ht="24" customHeight="1" x14ac:dyDescent="0.25">
      <c r="A17" s="13"/>
      <c r="B17" s="68"/>
      <c r="C17" s="78"/>
      <c r="D17" s="79"/>
      <c r="E17" s="80"/>
      <c r="F17" s="81">
        <f ca="1">IF(LEN(INDIRECT(ADDRESS(ROW()-1, COLUMN())))=1,"",INDIRECT(ADDRESS(63,6))-INDIRECT(ADDRESS(63,7)))</f>
        <v>1</v>
      </c>
      <c r="G17" s="82">
        <f ca="1">IF(LEN(INDIRECT(ADDRESS(ROW()-1, COLUMN())))=1,"",INDIRECT(ADDRESS(25,7))-INDIRECT(ADDRESS(25,6)))</f>
        <v>-2</v>
      </c>
      <c r="H17" s="82">
        <f ca="1">IF(LEN(INDIRECT(ADDRESS(ROW()-1, COLUMN())))=1,"",INDIRECT(ADDRESS(32,6))-INDIRECT(ADDRESS(32,7)))</f>
        <v>-4</v>
      </c>
      <c r="I17" s="116">
        <f ca="1">IF(LEN(INDIRECT(ADDRESS(ROW()-1, COLUMN())))=1,"",INDIRECT(ADDRESS(38,7))-INDIRECT(ADDRESS(38,6)))</f>
        <v>1</v>
      </c>
      <c r="J17" s="116">
        <f ca="1">IF(LEN(INDIRECT(ADDRESS(ROW()-1, COLUMN())))=1,"",INDIRECT(ADDRESS(43,6))-INDIRECT(ADDRESS(43,7)))</f>
        <v>-3</v>
      </c>
      <c r="K17" s="83">
        <f ca="1">IF(LEN(INDIRECT(ADDRESS(ROW()-1, COLUMN())))=1,"",INDIRECT(ADDRESS(51,7))-INDIRECT(ADDRESS(51,6)))</f>
        <v>-9</v>
      </c>
      <c r="L17" s="84"/>
      <c r="M17" s="85">
        <f ca="1">IF(LEN(INDIRECT(ADDRESS(ROW()-1, COLUMN())))=1,"",INDIRECT(ADDRESS(54,7))-INDIRECT(ADDRESS(54,6)))</f>
        <v>1</v>
      </c>
      <c r="N17" s="86"/>
      <c r="O17" s="82">
        <f ca="1">IF(COUNT(F17:M17)=0,"",SUM(F17:M17))</f>
        <v>-15</v>
      </c>
      <c r="P17" s="77"/>
    </row>
    <row r="18" spans="1:16" ht="24" customHeight="1" x14ac:dyDescent="0.25">
      <c r="A18" s="13"/>
      <c r="B18" s="53">
        <v>8</v>
      </c>
      <c r="C18" s="44" t="s">
        <v>23</v>
      </c>
      <c r="D18" s="45"/>
      <c r="E18" s="46"/>
      <c r="F18" s="54" t="str">
        <f ca="1">INDIRECT(ADDRESS(24,7))&amp;":"&amp;INDIRECT(ADDRESS(24,6))</f>
        <v>8:13</v>
      </c>
      <c r="G18" s="56" t="str">
        <f ca="1">INDIRECT(ADDRESS(36,7))&amp;":"&amp;INDIRECT(ADDRESS(36,6))</f>
        <v>7:13</v>
      </c>
      <c r="H18" s="56" t="str">
        <f ca="1">INDIRECT(ADDRESS(48,7))&amp;":"&amp;INDIRECT(ADDRESS(48,6))</f>
        <v>13:6</v>
      </c>
      <c r="I18" s="56" t="str">
        <f ca="1">INDIRECT(ADDRESS(60,7))&amp;":"&amp;INDIRECT(ADDRESS(60,6))</f>
        <v>11:13</v>
      </c>
      <c r="J18" s="56" t="str">
        <f ca="1">INDIRECT(ADDRESS(30,6))&amp;":"&amp;INDIRECT(ADDRESS(30,7))</f>
        <v>13:7</v>
      </c>
      <c r="K18" s="63" t="str">
        <f ca="1">INDIRECT(ADDRESS(42,6))&amp;":"&amp;INDIRECT(ADDRESS(42,7))</f>
        <v>10:13</v>
      </c>
      <c r="L18" s="63" t="str">
        <f ca="1">INDIRECT(ADDRESS(54,6))&amp;":"&amp;INDIRECT(ADDRESS(54,7))</f>
        <v>12:13</v>
      </c>
      <c r="M18" s="87"/>
      <c r="N18" s="51">
        <f ca="1">IF(COUNT(F19:M19)=0,"",COUNTIF(F19:M19,"&gt;0")+0.5*COUNTIF(F19:M19,0))</f>
        <v>2</v>
      </c>
      <c r="O18" s="48"/>
      <c r="P18" s="59">
        <v>7</v>
      </c>
    </row>
    <row r="19" spans="1:16" ht="24" customHeight="1" thickBot="1" x14ac:dyDescent="0.3">
      <c r="A19" s="13"/>
      <c r="B19" s="88"/>
      <c r="C19" s="89"/>
      <c r="D19" s="90"/>
      <c r="E19" s="91"/>
      <c r="F19" s="92">
        <f ca="1">IF(LEN(INDIRECT(ADDRESS(ROW()-1, COLUMN())))=1,"",INDIRECT(ADDRESS(24,7))-INDIRECT(ADDRESS(24,6)))</f>
        <v>-5</v>
      </c>
      <c r="G19" s="93">
        <f ca="1">IF(LEN(INDIRECT(ADDRESS(ROW()-1, COLUMN())))=1,"",INDIRECT(ADDRESS(36,7))-INDIRECT(ADDRESS(36,6)))</f>
        <v>-6</v>
      </c>
      <c r="H19" s="93">
        <f ca="1">IF(LEN(INDIRECT(ADDRESS(ROW()-1, COLUMN())))=1,"",INDIRECT(ADDRESS(48,7))-INDIRECT(ADDRESS(48,6)))</f>
        <v>7</v>
      </c>
      <c r="I19" s="93">
        <f ca="1">IF(LEN(INDIRECT(ADDRESS(ROW()-1, COLUMN())))=1,"",INDIRECT(ADDRESS(60,7))-INDIRECT(ADDRESS(60,6)))</f>
        <v>-2</v>
      </c>
      <c r="J19" s="93">
        <f ca="1">IF(LEN(INDIRECT(ADDRESS(ROW()-1, COLUMN())))=1,"",INDIRECT(ADDRESS(30,6))-INDIRECT(ADDRESS(30,7)))</f>
        <v>6</v>
      </c>
      <c r="K19" s="94">
        <f ca="1">IF(LEN(INDIRECT(ADDRESS(ROW()-1, COLUMN())))=1,"",INDIRECT(ADDRESS(42,6))-INDIRECT(ADDRESS(42,7)))</f>
        <v>-3</v>
      </c>
      <c r="L19" s="94">
        <f ca="1">IF(LEN(INDIRECT(ADDRESS(ROW()-1, COLUMN())))=1,"",INDIRECT(ADDRESS(54,6))-INDIRECT(ADDRESS(54,7)))</f>
        <v>-1</v>
      </c>
      <c r="M19" s="95"/>
      <c r="N19" s="96"/>
      <c r="O19" s="93">
        <f ca="1">IF(COUNT(F19:M19)=0,"",SUM(F19:M19))</f>
        <v>-4</v>
      </c>
      <c r="P19" s="97"/>
    </row>
    <row r="20" spans="1:16" x14ac:dyDescent="0.25">
      <c r="A20" s="13"/>
      <c r="M20" s="13"/>
    </row>
    <row r="21" spans="1:16" x14ac:dyDescent="0.25">
      <c r="A21" s="13"/>
      <c r="M21" s="13"/>
    </row>
    <row r="22" spans="1:16" x14ac:dyDescent="0.25">
      <c r="A22" s="13"/>
      <c r="M22" s="13"/>
    </row>
    <row r="23" spans="1:16" ht="30" customHeight="1" thickBot="1" x14ac:dyDescent="0.3">
      <c r="A23" s="13"/>
      <c r="B23" s="98" t="s">
        <v>32</v>
      </c>
      <c r="C23" s="98"/>
      <c r="D23" s="98"/>
      <c r="E23" s="98"/>
      <c r="F23" s="98"/>
      <c r="G23" s="98"/>
      <c r="H23" s="98"/>
      <c r="I23" s="98"/>
      <c r="J23" s="98"/>
      <c r="K23" s="98"/>
      <c r="M23" s="13"/>
    </row>
    <row r="24" spans="1:16" ht="30" customHeight="1" thickBot="1" x14ac:dyDescent="0.3">
      <c r="A24" s="13"/>
      <c r="B24" s="99">
        <v>1</v>
      </c>
      <c r="C24" s="100" t="str">
        <f ca="1">IF(ISBLANK(INDIRECT(ADDRESS(B24*2+2,3))),"",INDIRECT(ADDRESS(B24*2+2,3)))</f>
        <v>Лукин</v>
      </c>
      <c r="D24" s="100"/>
      <c r="E24" s="101"/>
      <c r="F24" s="102">
        <v>13</v>
      </c>
      <c r="G24" s="103">
        <v>8</v>
      </c>
      <c r="H24" s="104" t="str">
        <f ca="1">IF(ISBLANK(INDIRECT(ADDRESS(K24*2+2,3))),"",INDIRECT(ADDRESS(K24*2+2,3)))</f>
        <v>Помазан</v>
      </c>
      <c r="I24" s="100"/>
      <c r="J24" s="100"/>
      <c r="K24" s="99">
        <v>8</v>
      </c>
      <c r="L24" s="105" t="s">
        <v>33</v>
      </c>
      <c r="M24" s="106">
        <v>1</v>
      </c>
    </row>
    <row r="25" spans="1:16" ht="30" customHeight="1" thickBot="1" x14ac:dyDescent="0.3">
      <c r="A25" s="13"/>
      <c r="B25" s="99">
        <v>2</v>
      </c>
      <c r="C25" s="100" t="str">
        <f ca="1">IF(ISBLANK(INDIRECT(ADDRESS(B25*2+2,3))),"",INDIRECT(ADDRESS(B25*2+2,3)))</f>
        <v>Семченкова</v>
      </c>
      <c r="D25" s="100"/>
      <c r="E25" s="101"/>
      <c r="F25" s="102">
        <v>11</v>
      </c>
      <c r="G25" s="103">
        <v>9</v>
      </c>
      <c r="H25" s="104" t="str">
        <f ca="1">IF(ISBLANK(INDIRECT(ADDRESS(K25*2+2,3))),"",INDIRECT(ADDRESS(K25*2+2,3)))</f>
        <v>Субанов</v>
      </c>
      <c r="I25" s="100"/>
      <c r="J25" s="100"/>
      <c r="K25" s="99">
        <v>7</v>
      </c>
      <c r="L25" s="105" t="s">
        <v>33</v>
      </c>
      <c r="M25" s="106">
        <v>2</v>
      </c>
    </row>
    <row r="26" spans="1:16" ht="30" customHeight="1" thickBot="1" x14ac:dyDescent="0.3">
      <c r="A26" s="13"/>
      <c r="B26" s="99">
        <v>3</v>
      </c>
      <c r="C26" s="100" t="str">
        <f ca="1">IF(ISBLANK(INDIRECT(ADDRESS(B26*2+2,3))),"",INDIRECT(ADDRESS(B26*2+2,3)))</f>
        <v>Степанов</v>
      </c>
      <c r="D26" s="100"/>
      <c r="E26" s="101"/>
      <c r="F26" s="102">
        <v>4</v>
      </c>
      <c r="G26" s="103">
        <v>13</v>
      </c>
      <c r="H26" s="104" t="str">
        <f ca="1">IF(ISBLANK(INDIRECT(ADDRESS(K26*2+2,3))),"",INDIRECT(ADDRESS(K26*2+2,3)))</f>
        <v>Еремин</v>
      </c>
      <c r="I26" s="100"/>
      <c r="J26" s="100"/>
      <c r="K26" s="99">
        <v>6</v>
      </c>
      <c r="L26" s="105" t="s">
        <v>33</v>
      </c>
      <c r="M26" s="106">
        <v>3</v>
      </c>
    </row>
    <row r="27" spans="1:16" ht="30" customHeight="1" thickBot="1" x14ac:dyDescent="0.3">
      <c r="A27" s="13"/>
      <c r="B27" s="99">
        <v>4</v>
      </c>
      <c r="C27" s="100" t="str">
        <f ca="1">IF(ISBLANK(INDIRECT(ADDRESS(B27*2+2,3))),"",INDIRECT(ADDRESS(B27*2+2,3)))</f>
        <v>Нечаев</v>
      </c>
      <c r="D27" s="100"/>
      <c r="E27" s="101"/>
      <c r="F27" s="102">
        <v>2</v>
      </c>
      <c r="G27" s="103">
        <v>13</v>
      </c>
      <c r="H27" s="104" t="str">
        <f ca="1">IF(ISBLANK(INDIRECT(ADDRESS(K27*2+2,3))),"",INDIRECT(ADDRESS(K27*2+2,3)))</f>
        <v>Лукина</v>
      </c>
      <c r="I27" s="100"/>
      <c r="J27" s="100"/>
      <c r="K27" s="99">
        <v>5</v>
      </c>
      <c r="L27" s="105" t="s">
        <v>33</v>
      </c>
      <c r="M27" s="106">
        <v>4</v>
      </c>
    </row>
    <row r="28" spans="1:16" ht="30" customHeight="1" x14ac:dyDescent="0.25">
      <c r="A28" s="13"/>
      <c r="M28" s="107"/>
    </row>
    <row r="29" spans="1:16" ht="30" customHeight="1" thickBot="1" x14ac:dyDescent="0.3">
      <c r="A29" s="13"/>
      <c r="B29" s="98" t="s">
        <v>34</v>
      </c>
      <c r="C29" s="98"/>
      <c r="D29" s="98"/>
      <c r="E29" s="98"/>
      <c r="F29" s="98"/>
      <c r="G29" s="98"/>
      <c r="H29" s="98"/>
      <c r="I29" s="98"/>
      <c r="J29" s="98"/>
      <c r="K29" s="98"/>
      <c r="M29" s="107"/>
    </row>
    <row r="30" spans="1:16" ht="30" customHeight="1" thickBot="1" x14ac:dyDescent="0.3">
      <c r="A30" s="13"/>
      <c r="B30" s="99">
        <v>8</v>
      </c>
      <c r="C30" s="100" t="str">
        <f ca="1">IF(ISBLANK(INDIRECT(ADDRESS(B30*2+2,3))),"",INDIRECT(ADDRESS(B30*2+2,3)))</f>
        <v>Помазан</v>
      </c>
      <c r="D30" s="100"/>
      <c r="E30" s="101"/>
      <c r="F30" s="102">
        <v>13</v>
      </c>
      <c r="G30" s="103">
        <v>7</v>
      </c>
      <c r="H30" s="104" t="str">
        <f ca="1">IF(ISBLANK(INDIRECT(ADDRESS(K30*2+2,3))),"",INDIRECT(ADDRESS(K30*2+2,3)))</f>
        <v>Лукина</v>
      </c>
      <c r="I30" s="100"/>
      <c r="J30" s="100"/>
      <c r="K30" s="99">
        <v>5</v>
      </c>
      <c r="L30" s="105" t="s">
        <v>33</v>
      </c>
      <c r="M30" s="106">
        <v>2</v>
      </c>
    </row>
    <row r="31" spans="1:16" ht="30" customHeight="1" thickBot="1" x14ac:dyDescent="0.3">
      <c r="A31" s="13"/>
      <c r="B31" s="99">
        <v>6</v>
      </c>
      <c r="C31" s="100" t="str">
        <f ca="1">IF(ISBLANK(INDIRECT(ADDRESS(B31*2+2,3))),"",INDIRECT(ADDRESS(B31*2+2,3)))</f>
        <v>Еремин</v>
      </c>
      <c r="D31" s="100"/>
      <c r="E31" s="101"/>
      <c r="F31" s="102">
        <v>13</v>
      </c>
      <c r="G31" s="103">
        <v>7</v>
      </c>
      <c r="H31" s="104" t="str">
        <f ca="1">IF(ISBLANK(INDIRECT(ADDRESS(K31*2+2,3))),"",INDIRECT(ADDRESS(K31*2+2,3)))</f>
        <v>Нечаев</v>
      </c>
      <c r="I31" s="100"/>
      <c r="J31" s="100"/>
      <c r="K31" s="99">
        <v>4</v>
      </c>
      <c r="L31" s="105" t="s">
        <v>33</v>
      </c>
      <c r="M31" s="106">
        <v>1</v>
      </c>
    </row>
    <row r="32" spans="1:16" ht="30" customHeight="1" thickBot="1" x14ac:dyDescent="0.3">
      <c r="A32" s="13"/>
      <c r="B32" s="99">
        <v>7</v>
      </c>
      <c r="C32" s="100" t="str">
        <f ca="1">IF(ISBLANK(INDIRECT(ADDRESS(B32*2+2,3))),"",INDIRECT(ADDRESS(B32*2+2,3)))</f>
        <v>Субанов</v>
      </c>
      <c r="D32" s="100"/>
      <c r="E32" s="101"/>
      <c r="F32" s="102">
        <v>9</v>
      </c>
      <c r="G32" s="103">
        <v>13</v>
      </c>
      <c r="H32" s="104" t="str">
        <f ca="1">IF(ISBLANK(INDIRECT(ADDRESS(K32*2+2,3))),"",INDIRECT(ADDRESS(K32*2+2,3)))</f>
        <v>Степанов</v>
      </c>
      <c r="I32" s="100"/>
      <c r="J32" s="100"/>
      <c r="K32" s="99">
        <v>3</v>
      </c>
      <c r="L32" s="105" t="s">
        <v>33</v>
      </c>
      <c r="M32" s="106">
        <v>4</v>
      </c>
    </row>
    <row r="33" spans="1:13" ht="30" customHeight="1" thickBot="1" x14ac:dyDescent="0.3">
      <c r="A33" s="13"/>
      <c r="B33" s="99">
        <v>1</v>
      </c>
      <c r="C33" s="100" t="str">
        <f ca="1">IF(ISBLANK(INDIRECT(ADDRESS(B33*2+2,3))),"",INDIRECT(ADDRESS(B33*2+2,3)))</f>
        <v>Лукин</v>
      </c>
      <c r="D33" s="100"/>
      <c r="E33" s="101"/>
      <c r="F33" s="102">
        <v>5</v>
      </c>
      <c r="G33" s="103">
        <v>13</v>
      </c>
      <c r="H33" s="104" t="str">
        <f ca="1">IF(ISBLANK(INDIRECT(ADDRESS(K33*2+2,3))),"",INDIRECT(ADDRESS(K33*2+2,3)))</f>
        <v>Семченкова</v>
      </c>
      <c r="I33" s="100"/>
      <c r="J33" s="100"/>
      <c r="K33" s="99">
        <v>2</v>
      </c>
      <c r="L33" s="105" t="s">
        <v>33</v>
      </c>
      <c r="M33" s="106">
        <v>3</v>
      </c>
    </row>
    <row r="34" spans="1:13" ht="30" customHeight="1" x14ac:dyDescent="0.25">
      <c r="A34" s="13"/>
      <c r="M34" s="107"/>
    </row>
    <row r="35" spans="1:13" ht="30" customHeight="1" thickBot="1" x14ac:dyDescent="0.3">
      <c r="A35" s="13"/>
      <c r="B35" s="98" t="s">
        <v>35</v>
      </c>
      <c r="C35" s="98"/>
      <c r="D35" s="98"/>
      <c r="E35" s="98"/>
      <c r="F35" s="98"/>
      <c r="G35" s="98"/>
      <c r="H35" s="98"/>
      <c r="I35" s="98"/>
      <c r="J35" s="98"/>
      <c r="K35" s="98"/>
      <c r="M35" s="107"/>
    </row>
    <row r="36" spans="1:13" ht="30" customHeight="1" thickBot="1" x14ac:dyDescent="0.3">
      <c r="A36" s="13"/>
      <c r="B36" s="99">
        <v>2</v>
      </c>
      <c r="C36" s="100" t="str">
        <f ca="1">IF(ISBLANK(INDIRECT(ADDRESS(B36*2+2,3))),"",INDIRECT(ADDRESS(B36*2+2,3)))</f>
        <v>Семченкова</v>
      </c>
      <c r="D36" s="100"/>
      <c r="E36" s="101"/>
      <c r="F36" s="102">
        <v>13</v>
      </c>
      <c r="G36" s="103">
        <v>7</v>
      </c>
      <c r="H36" s="104" t="str">
        <f ca="1">IF(ISBLANK(INDIRECT(ADDRESS(K36*2+2,3))),"",INDIRECT(ADDRESS(K36*2+2,3)))</f>
        <v>Помазан</v>
      </c>
      <c r="I36" s="100"/>
      <c r="J36" s="100"/>
      <c r="K36" s="99">
        <v>8</v>
      </c>
      <c r="L36" s="105" t="s">
        <v>33</v>
      </c>
      <c r="M36" s="106">
        <v>4</v>
      </c>
    </row>
    <row r="37" spans="1:13" ht="30" customHeight="1" thickBot="1" x14ac:dyDescent="0.3">
      <c r="A37" s="13"/>
      <c r="B37" s="99">
        <v>3</v>
      </c>
      <c r="C37" s="100" t="str">
        <f ca="1">IF(ISBLANK(INDIRECT(ADDRESS(B37*2+2,3))),"",INDIRECT(ADDRESS(B37*2+2,3)))</f>
        <v>Степанов</v>
      </c>
      <c r="D37" s="100"/>
      <c r="E37" s="101"/>
      <c r="F37" s="102">
        <v>5</v>
      </c>
      <c r="G37" s="103">
        <v>13</v>
      </c>
      <c r="H37" s="104" t="str">
        <f ca="1">IF(ISBLANK(INDIRECT(ADDRESS(K37*2+2,3))),"",INDIRECT(ADDRESS(K37*2+2,3)))</f>
        <v>Лукин</v>
      </c>
      <c r="I37" s="100"/>
      <c r="J37" s="100"/>
      <c r="K37" s="99">
        <v>1</v>
      </c>
      <c r="L37" s="105" t="s">
        <v>33</v>
      </c>
      <c r="M37" s="106">
        <v>3</v>
      </c>
    </row>
    <row r="38" spans="1:13" ht="30" customHeight="1" thickBot="1" x14ac:dyDescent="0.3">
      <c r="A38" s="13"/>
      <c r="B38" s="99">
        <v>4</v>
      </c>
      <c r="C38" s="100" t="str">
        <f ca="1">IF(ISBLANK(INDIRECT(ADDRESS(B38*2+2,3))),"",INDIRECT(ADDRESS(B38*2+2,3)))</f>
        <v>Нечаев</v>
      </c>
      <c r="D38" s="100"/>
      <c r="E38" s="101"/>
      <c r="F38" s="102">
        <v>12</v>
      </c>
      <c r="G38" s="103">
        <v>13</v>
      </c>
      <c r="H38" s="104" t="str">
        <f ca="1">IF(ISBLANK(INDIRECT(ADDRESS(K38*2+2,3))),"",INDIRECT(ADDRESS(K38*2+2,3)))</f>
        <v>Субанов</v>
      </c>
      <c r="I38" s="100"/>
      <c r="J38" s="100"/>
      <c r="K38" s="99">
        <v>7</v>
      </c>
      <c r="L38" s="105" t="s">
        <v>33</v>
      </c>
      <c r="M38" s="106">
        <v>1</v>
      </c>
    </row>
    <row r="39" spans="1:13" ht="30" customHeight="1" thickBot="1" x14ac:dyDescent="0.3">
      <c r="A39" s="13"/>
      <c r="B39" s="99">
        <v>5</v>
      </c>
      <c r="C39" s="100" t="str">
        <f ca="1">IF(ISBLANK(INDIRECT(ADDRESS(B39*2+2,3))),"",INDIRECT(ADDRESS(B39*2+2,3)))</f>
        <v>Лукина</v>
      </c>
      <c r="D39" s="100"/>
      <c r="E39" s="101"/>
      <c r="F39" s="102">
        <v>1</v>
      </c>
      <c r="G39" s="103">
        <v>13</v>
      </c>
      <c r="H39" s="104" t="str">
        <f ca="1">IF(ISBLANK(INDIRECT(ADDRESS(K39*2+2,3))),"",INDIRECT(ADDRESS(K39*2+2,3)))</f>
        <v>Еремин</v>
      </c>
      <c r="I39" s="100"/>
      <c r="J39" s="100"/>
      <c r="K39" s="99">
        <v>6</v>
      </c>
      <c r="L39" s="105" t="s">
        <v>33</v>
      </c>
      <c r="M39" s="106">
        <v>2</v>
      </c>
    </row>
    <row r="40" spans="1:13" ht="30" customHeight="1" x14ac:dyDescent="0.25">
      <c r="A40" s="13"/>
      <c r="M40" s="107"/>
    </row>
    <row r="41" spans="1:13" ht="30" customHeight="1" thickBot="1" x14ac:dyDescent="0.3">
      <c r="A41" s="13"/>
      <c r="B41" s="98" t="s">
        <v>36</v>
      </c>
      <c r="C41" s="98"/>
      <c r="D41" s="98"/>
      <c r="E41" s="98"/>
      <c r="F41" s="98"/>
      <c r="G41" s="98"/>
      <c r="H41" s="98"/>
      <c r="I41" s="98"/>
      <c r="J41" s="98"/>
      <c r="K41" s="98"/>
      <c r="M41" s="107"/>
    </row>
    <row r="42" spans="1:13" ht="30" customHeight="1" thickBot="1" x14ac:dyDescent="0.3">
      <c r="A42" s="13"/>
      <c r="B42" s="99">
        <v>8</v>
      </c>
      <c r="C42" s="100" t="str">
        <f ca="1">IF(ISBLANK(INDIRECT(ADDRESS(B42*2+2,3))),"",INDIRECT(ADDRESS(B42*2+2,3)))</f>
        <v>Помазан</v>
      </c>
      <c r="D42" s="100"/>
      <c r="E42" s="101"/>
      <c r="F42" s="102">
        <v>10</v>
      </c>
      <c r="G42" s="103">
        <v>13</v>
      </c>
      <c r="H42" s="104" t="str">
        <f ca="1">IF(ISBLANK(INDIRECT(ADDRESS(K42*2+2,3))),"",INDIRECT(ADDRESS(K42*2+2,3)))</f>
        <v>Еремин</v>
      </c>
      <c r="I42" s="100"/>
      <c r="J42" s="100"/>
      <c r="K42" s="99">
        <v>6</v>
      </c>
      <c r="L42" s="105" t="s">
        <v>33</v>
      </c>
      <c r="M42" s="106">
        <v>2</v>
      </c>
    </row>
    <row r="43" spans="1:13" ht="30" customHeight="1" thickBot="1" x14ac:dyDescent="0.3">
      <c r="A43" s="13"/>
      <c r="B43" s="99">
        <v>7</v>
      </c>
      <c r="C43" s="100" t="str">
        <f ca="1">IF(ISBLANK(INDIRECT(ADDRESS(B43*2+2,3))),"",INDIRECT(ADDRESS(B43*2+2,3)))</f>
        <v>Субанов</v>
      </c>
      <c r="D43" s="100"/>
      <c r="E43" s="101"/>
      <c r="F43" s="102">
        <v>10</v>
      </c>
      <c r="G43" s="103">
        <v>13</v>
      </c>
      <c r="H43" s="104" t="str">
        <f ca="1">IF(ISBLANK(INDIRECT(ADDRESS(K43*2+2,3))),"",INDIRECT(ADDRESS(K43*2+2,3)))</f>
        <v>Лукина</v>
      </c>
      <c r="I43" s="100"/>
      <c r="J43" s="100"/>
      <c r="K43" s="99">
        <v>5</v>
      </c>
      <c r="L43" s="105" t="s">
        <v>33</v>
      </c>
      <c r="M43" s="106">
        <v>3</v>
      </c>
    </row>
    <row r="44" spans="1:13" ht="30" customHeight="1" thickBot="1" x14ac:dyDescent="0.3">
      <c r="A44" s="13"/>
      <c r="B44" s="99">
        <v>1</v>
      </c>
      <c r="C44" s="100" t="str">
        <f ca="1">IF(ISBLANK(INDIRECT(ADDRESS(B44*2+2,3))),"",INDIRECT(ADDRESS(B44*2+2,3)))</f>
        <v>Лукин</v>
      </c>
      <c r="D44" s="100"/>
      <c r="E44" s="101"/>
      <c r="F44" s="102">
        <v>13</v>
      </c>
      <c r="G44" s="103">
        <v>10</v>
      </c>
      <c r="H44" s="104" t="str">
        <f ca="1">IF(ISBLANK(INDIRECT(ADDRESS(K44*2+2,3))),"",INDIRECT(ADDRESS(K44*2+2,3)))</f>
        <v>Нечаев</v>
      </c>
      <c r="I44" s="100"/>
      <c r="J44" s="100"/>
      <c r="K44" s="99">
        <v>4</v>
      </c>
      <c r="L44" s="105" t="s">
        <v>33</v>
      </c>
      <c r="M44" s="106">
        <v>4</v>
      </c>
    </row>
    <row r="45" spans="1:13" ht="30" customHeight="1" thickBot="1" x14ac:dyDescent="0.3">
      <c r="A45" s="13"/>
      <c r="B45" s="99">
        <v>2</v>
      </c>
      <c r="C45" s="100" t="str">
        <f ca="1">IF(ISBLANK(INDIRECT(ADDRESS(B45*2+2,3))),"",INDIRECT(ADDRESS(B45*2+2,3)))</f>
        <v>Семченкова</v>
      </c>
      <c r="D45" s="100"/>
      <c r="E45" s="101"/>
      <c r="F45" s="102">
        <v>13</v>
      </c>
      <c r="G45" s="103">
        <v>5</v>
      </c>
      <c r="H45" s="104" t="str">
        <f ca="1">IF(ISBLANK(INDIRECT(ADDRESS(K45*2+2,3))),"",INDIRECT(ADDRESS(K45*2+2,3)))</f>
        <v>Степанов</v>
      </c>
      <c r="I45" s="100"/>
      <c r="J45" s="100"/>
      <c r="K45" s="99">
        <v>3</v>
      </c>
      <c r="L45" s="105" t="s">
        <v>33</v>
      </c>
      <c r="M45" s="106">
        <v>1</v>
      </c>
    </row>
    <row r="46" spans="1:13" ht="52.5" customHeight="1" x14ac:dyDescent="0.25">
      <c r="A46" s="13"/>
      <c r="M46" s="107"/>
    </row>
    <row r="47" spans="1:13" ht="30" customHeight="1" thickBot="1" x14ac:dyDescent="0.3">
      <c r="A47" s="13"/>
      <c r="B47" s="98" t="s">
        <v>37</v>
      </c>
      <c r="C47" s="98"/>
      <c r="D47" s="98"/>
      <c r="E47" s="98"/>
      <c r="F47" s="98"/>
      <c r="G47" s="98"/>
      <c r="H47" s="98"/>
      <c r="I47" s="98"/>
      <c r="J47" s="98"/>
      <c r="K47" s="98"/>
      <c r="M47" s="107"/>
    </row>
    <row r="48" spans="1:13" ht="30" customHeight="1" thickBot="1" x14ac:dyDescent="0.3">
      <c r="A48" s="13"/>
      <c r="B48" s="99">
        <v>3</v>
      </c>
      <c r="C48" s="100" t="str">
        <f ca="1">IF(ISBLANK(INDIRECT(ADDRESS(B48*2+2,3))),"",INDIRECT(ADDRESS(B48*2+2,3)))</f>
        <v>Степанов</v>
      </c>
      <c r="D48" s="100"/>
      <c r="E48" s="101"/>
      <c r="F48" s="102">
        <v>6</v>
      </c>
      <c r="G48" s="103">
        <v>13</v>
      </c>
      <c r="H48" s="104" t="str">
        <f ca="1">IF(ISBLANK(INDIRECT(ADDRESS(K48*2+2,3))),"",INDIRECT(ADDRESS(K48*2+2,3)))</f>
        <v>Помазан</v>
      </c>
      <c r="I48" s="100"/>
      <c r="J48" s="100"/>
      <c r="K48" s="99">
        <v>8</v>
      </c>
      <c r="L48" s="105" t="s">
        <v>33</v>
      </c>
      <c r="M48" s="106">
        <v>4</v>
      </c>
    </row>
    <row r="49" spans="1:13" ht="30" customHeight="1" thickBot="1" x14ac:dyDescent="0.3">
      <c r="A49" s="13"/>
      <c r="B49" s="99">
        <v>4</v>
      </c>
      <c r="C49" s="100" t="str">
        <f ca="1">IF(ISBLANK(INDIRECT(ADDRESS(B49*2+2,3))),"",INDIRECT(ADDRESS(B49*2+2,3)))</f>
        <v>Нечаев</v>
      </c>
      <c r="D49" s="100"/>
      <c r="E49" s="101"/>
      <c r="F49" s="102">
        <v>13</v>
      </c>
      <c r="G49" s="103">
        <v>5</v>
      </c>
      <c r="H49" s="104" t="str">
        <f ca="1">IF(ISBLANK(INDIRECT(ADDRESS(K49*2+2,3))),"",INDIRECT(ADDRESS(K49*2+2,3)))</f>
        <v>Семченкова</v>
      </c>
      <c r="I49" s="100"/>
      <c r="J49" s="100"/>
      <c r="K49" s="99">
        <v>2</v>
      </c>
      <c r="L49" s="105" t="s">
        <v>33</v>
      </c>
      <c r="M49" s="106">
        <v>2</v>
      </c>
    </row>
    <row r="50" spans="1:13" ht="30" customHeight="1" thickBot="1" x14ac:dyDescent="0.3">
      <c r="A50" s="13"/>
      <c r="B50" s="99">
        <v>5</v>
      </c>
      <c r="C50" s="100" t="str">
        <f ca="1">IF(ISBLANK(INDIRECT(ADDRESS(B50*2+2,3))),"",INDIRECT(ADDRESS(B50*2+2,3)))</f>
        <v>Лукина</v>
      </c>
      <c r="D50" s="100"/>
      <c r="E50" s="101"/>
      <c r="F50" s="102">
        <v>7</v>
      </c>
      <c r="G50" s="103">
        <v>13</v>
      </c>
      <c r="H50" s="104" t="str">
        <f ca="1">IF(ISBLANK(INDIRECT(ADDRESS(K50*2+2,3))),"",INDIRECT(ADDRESS(K50*2+2,3)))</f>
        <v>Лукин</v>
      </c>
      <c r="I50" s="100"/>
      <c r="J50" s="100"/>
      <c r="K50" s="99">
        <v>1</v>
      </c>
      <c r="L50" s="105" t="s">
        <v>33</v>
      </c>
      <c r="M50" s="106">
        <v>1</v>
      </c>
    </row>
    <row r="51" spans="1:13" ht="30" customHeight="1" thickBot="1" x14ac:dyDescent="0.3">
      <c r="A51" s="13"/>
      <c r="B51" s="99">
        <v>6</v>
      </c>
      <c r="C51" s="100" t="str">
        <f ca="1">IF(ISBLANK(INDIRECT(ADDRESS(B51*2+2,3))),"",INDIRECT(ADDRESS(B51*2+2,3)))</f>
        <v>Еремин</v>
      </c>
      <c r="D51" s="100"/>
      <c r="E51" s="101"/>
      <c r="F51" s="102">
        <v>13</v>
      </c>
      <c r="G51" s="103">
        <v>4</v>
      </c>
      <c r="H51" s="104" t="str">
        <f ca="1">IF(ISBLANK(INDIRECT(ADDRESS(K51*2+2,3))),"",INDIRECT(ADDRESS(K51*2+2,3)))</f>
        <v>Субанов</v>
      </c>
      <c r="I51" s="100"/>
      <c r="J51" s="100"/>
      <c r="K51" s="99">
        <v>7</v>
      </c>
      <c r="L51" s="105" t="s">
        <v>33</v>
      </c>
      <c r="M51" s="106">
        <v>3</v>
      </c>
    </row>
    <row r="52" spans="1:13" ht="30" customHeight="1" x14ac:dyDescent="0.25">
      <c r="A52" s="13"/>
      <c r="M52" s="107"/>
    </row>
    <row r="53" spans="1:13" ht="30" customHeight="1" thickBot="1" x14ac:dyDescent="0.3">
      <c r="A53" s="13"/>
      <c r="B53" s="98" t="s">
        <v>38</v>
      </c>
      <c r="C53" s="98"/>
      <c r="D53" s="98"/>
      <c r="E53" s="98"/>
      <c r="F53" s="98"/>
      <c r="G53" s="98"/>
      <c r="H53" s="98"/>
      <c r="I53" s="98"/>
      <c r="J53" s="98"/>
      <c r="K53" s="98"/>
      <c r="M53" s="107"/>
    </row>
    <row r="54" spans="1:13" ht="30" customHeight="1" thickBot="1" x14ac:dyDescent="0.3">
      <c r="A54" s="13"/>
      <c r="B54" s="99">
        <v>8</v>
      </c>
      <c r="C54" s="100" t="str">
        <f ca="1">IF(ISBLANK(INDIRECT(ADDRESS(B54*2+2,3))),"",INDIRECT(ADDRESS(B54*2+2,3)))</f>
        <v>Помазан</v>
      </c>
      <c r="D54" s="100"/>
      <c r="E54" s="101"/>
      <c r="F54" s="102">
        <v>12</v>
      </c>
      <c r="G54" s="103">
        <v>13</v>
      </c>
      <c r="H54" s="104" t="str">
        <f ca="1">IF(ISBLANK(INDIRECT(ADDRESS(K54*2+2,3))),"",INDIRECT(ADDRESS(K54*2+2,3)))</f>
        <v>Субанов</v>
      </c>
      <c r="I54" s="100"/>
      <c r="J54" s="100"/>
      <c r="K54" s="99">
        <v>7</v>
      </c>
      <c r="L54" s="105" t="s">
        <v>33</v>
      </c>
      <c r="M54" s="106">
        <v>1</v>
      </c>
    </row>
    <row r="55" spans="1:13" ht="30" customHeight="1" thickBot="1" x14ac:dyDescent="0.3">
      <c r="A55" s="13"/>
      <c r="B55" s="99">
        <v>1</v>
      </c>
      <c r="C55" s="100" t="str">
        <f ca="1">IF(ISBLANK(INDIRECT(ADDRESS(B55*2+2,3))),"",INDIRECT(ADDRESS(B55*2+2,3)))</f>
        <v>Лукин</v>
      </c>
      <c r="D55" s="100"/>
      <c r="E55" s="101"/>
      <c r="F55" s="102">
        <v>4</v>
      </c>
      <c r="G55" s="103">
        <v>13</v>
      </c>
      <c r="H55" s="104" t="str">
        <f ca="1">IF(ISBLANK(INDIRECT(ADDRESS(K55*2+2,3))),"",INDIRECT(ADDRESS(K55*2+2,3)))</f>
        <v>Еремин</v>
      </c>
      <c r="I55" s="100"/>
      <c r="J55" s="100"/>
      <c r="K55" s="99">
        <v>6</v>
      </c>
      <c r="L55" s="105" t="s">
        <v>33</v>
      </c>
      <c r="M55" s="106">
        <v>4</v>
      </c>
    </row>
    <row r="56" spans="1:13" ht="30" customHeight="1" thickBot="1" x14ac:dyDescent="0.3">
      <c r="A56" s="13"/>
      <c r="B56" s="99">
        <v>2</v>
      </c>
      <c r="C56" s="100" t="str">
        <f ca="1">IF(ISBLANK(INDIRECT(ADDRESS(B56*2+2,3))),"",INDIRECT(ADDRESS(B56*2+2,3)))</f>
        <v>Семченкова</v>
      </c>
      <c r="D56" s="100"/>
      <c r="E56" s="101"/>
      <c r="F56" s="102">
        <v>13</v>
      </c>
      <c r="G56" s="103">
        <v>5</v>
      </c>
      <c r="H56" s="104" t="str">
        <f ca="1">IF(ISBLANK(INDIRECT(ADDRESS(K56*2+2,3))),"",INDIRECT(ADDRESS(K56*2+2,3)))</f>
        <v>Лукина</v>
      </c>
      <c r="I56" s="100"/>
      <c r="J56" s="100"/>
      <c r="K56" s="99">
        <v>5</v>
      </c>
      <c r="L56" s="105" t="s">
        <v>33</v>
      </c>
      <c r="M56" s="106">
        <v>3</v>
      </c>
    </row>
    <row r="57" spans="1:13" ht="30" customHeight="1" thickBot="1" x14ac:dyDescent="0.3">
      <c r="A57" s="13"/>
      <c r="B57" s="99">
        <v>3</v>
      </c>
      <c r="C57" s="100" t="str">
        <f ca="1">IF(ISBLANK(INDIRECT(ADDRESS(B57*2+2,3))),"",INDIRECT(ADDRESS(B57*2+2,3)))</f>
        <v>Степанов</v>
      </c>
      <c r="D57" s="100"/>
      <c r="E57" s="101"/>
      <c r="F57" s="102">
        <v>7</v>
      </c>
      <c r="G57" s="103">
        <v>13</v>
      </c>
      <c r="H57" s="104" t="str">
        <f ca="1">IF(ISBLANK(INDIRECT(ADDRESS(K57*2+2,3))),"",INDIRECT(ADDRESS(K57*2+2,3)))</f>
        <v>Нечаев</v>
      </c>
      <c r="I57" s="100"/>
      <c r="J57" s="100"/>
      <c r="K57" s="99">
        <v>4</v>
      </c>
      <c r="L57" s="105" t="s">
        <v>33</v>
      </c>
      <c r="M57" s="106">
        <v>2</v>
      </c>
    </row>
    <row r="58" spans="1:13" ht="30" customHeight="1" x14ac:dyDescent="0.25">
      <c r="A58" s="13"/>
      <c r="M58" s="107"/>
    </row>
    <row r="59" spans="1:13" ht="30" customHeight="1" thickBot="1" x14ac:dyDescent="0.3">
      <c r="A59" s="13"/>
      <c r="B59" s="98" t="s">
        <v>39</v>
      </c>
      <c r="C59" s="98"/>
      <c r="D59" s="98"/>
      <c r="E59" s="98"/>
      <c r="F59" s="98"/>
      <c r="G59" s="98"/>
      <c r="H59" s="98"/>
      <c r="I59" s="98"/>
      <c r="J59" s="98"/>
      <c r="K59" s="98"/>
      <c r="M59" s="107"/>
    </row>
    <row r="60" spans="1:13" ht="30" customHeight="1" thickBot="1" x14ac:dyDescent="0.3">
      <c r="A60" s="13"/>
      <c r="B60" s="99">
        <v>4</v>
      </c>
      <c r="C60" s="100" t="str">
        <f ca="1">IF(ISBLANK(INDIRECT(ADDRESS(B60*2+2,3))),"",INDIRECT(ADDRESS(B60*2+2,3)))</f>
        <v>Нечаев</v>
      </c>
      <c r="D60" s="100"/>
      <c r="E60" s="101"/>
      <c r="F60" s="102">
        <v>13</v>
      </c>
      <c r="G60" s="103">
        <v>11</v>
      </c>
      <c r="H60" s="104" t="str">
        <f ca="1">IF(ISBLANK(INDIRECT(ADDRESS(K60*2+2,3))),"",INDIRECT(ADDRESS(K60*2+2,3)))</f>
        <v>Помазан</v>
      </c>
      <c r="I60" s="100"/>
      <c r="J60" s="100"/>
      <c r="K60" s="99">
        <v>8</v>
      </c>
      <c r="L60" s="105" t="s">
        <v>33</v>
      </c>
      <c r="M60" s="106">
        <v>3</v>
      </c>
    </row>
    <row r="61" spans="1:13" ht="30" customHeight="1" thickBot="1" x14ac:dyDescent="0.3">
      <c r="A61" s="13"/>
      <c r="B61" s="99">
        <v>5</v>
      </c>
      <c r="C61" s="100" t="str">
        <f ca="1">IF(ISBLANK(INDIRECT(ADDRESS(B61*2+2,3))),"",INDIRECT(ADDRESS(B61*2+2,3)))</f>
        <v>Лукина</v>
      </c>
      <c r="D61" s="100"/>
      <c r="E61" s="101"/>
      <c r="F61" s="102">
        <v>13</v>
      </c>
      <c r="G61" s="103">
        <v>10</v>
      </c>
      <c r="H61" s="104" t="str">
        <f ca="1">IF(ISBLANK(INDIRECT(ADDRESS(K61*2+2,3))),"",INDIRECT(ADDRESS(K61*2+2,3)))</f>
        <v>Степанов</v>
      </c>
      <c r="I61" s="100"/>
      <c r="J61" s="100"/>
      <c r="K61" s="99">
        <v>3</v>
      </c>
      <c r="L61" s="105" t="s">
        <v>33</v>
      </c>
      <c r="M61" s="106">
        <v>1</v>
      </c>
    </row>
    <row r="62" spans="1:13" ht="30" customHeight="1" thickBot="1" x14ac:dyDescent="0.3">
      <c r="A62" s="13"/>
      <c r="B62" s="99">
        <v>6</v>
      </c>
      <c r="C62" s="100" t="str">
        <f ca="1">IF(ISBLANK(INDIRECT(ADDRESS(B62*2+2,3))),"",INDIRECT(ADDRESS(B62*2+2,3)))</f>
        <v>Еремин</v>
      </c>
      <c r="D62" s="100"/>
      <c r="E62" s="101"/>
      <c r="F62" s="102">
        <v>13</v>
      </c>
      <c r="G62" s="103">
        <v>6</v>
      </c>
      <c r="H62" s="104" t="str">
        <f ca="1">IF(ISBLANK(INDIRECT(ADDRESS(K62*2+2,3))),"",INDIRECT(ADDRESS(K62*2+2,3)))</f>
        <v>Семченкова</v>
      </c>
      <c r="I62" s="100"/>
      <c r="J62" s="100"/>
      <c r="K62" s="99">
        <v>2</v>
      </c>
      <c r="L62" s="105" t="s">
        <v>33</v>
      </c>
      <c r="M62" s="106">
        <v>4</v>
      </c>
    </row>
    <row r="63" spans="1:13" ht="30" customHeight="1" thickBot="1" x14ac:dyDescent="0.3">
      <c r="A63" s="13"/>
      <c r="B63" s="99">
        <v>7</v>
      </c>
      <c r="C63" s="100" t="str">
        <f ca="1">IF(ISBLANK(INDIRECT(ADDRESS(B63*2+2,3))),"",INDIRECT(ADDRESS(B63*2+2,3)))</f>
        <v>Субанов</v>
      </c>
      <c r="D63" s="100"/>
      <c r="E63" s="101"/>
      <c r="F63" s="102">
        <v>13</v>
      </c>
      <c r="G63" s="103">
        <v>12</v>
      </c>
      <c r="H63" s="104" t="str">
        <f ca="1">IF(ISBLANK(INDIRECT(ADDRESS(K63*2+2,3))),"",INDIRECT(ADDRESS(K63*2+2,3)))</f>
        <v>Лукин</v>
      </c>
      <c r="I63" s="100"/>
      <c r="J63" s="100"/>
      <c r="K63" s="99">
        <v>1</v>
      </c>
      <c r="L63" s="105" t="s">
        <v>33</v>
      </c>
      <c r="M63" s="106">
        <v>2</v>
      </c>
    </row>
  </sheetData>
  <mergeCells count="97">
    <mergeCell ref="C62:E62"/>
    <mergeCell ref="H62:J62"/>
    <mergeCell ref="C63:E63"/>
    <mergeCell ref="H63:J63"/>
    <mergeCell ref="C2:N2"/>
    <mergeCell ref="B59:K59"/>
    <mergeCell ref="C60:E60"/>
    <mergeCell ref="H60:J60"/>
    <mergeCell ref="C61:E61"/>
    <mergeCell ref="H61:J61"/>
    <mergeCell ref="C55:E55"/>
    <mergeCell ref="H55:J55"/>
    <mergeCell ref="C56:E56"/>
    <mergeCell ref="H56:J56"/>
    <mergeCell ref="C57:E57"/>
    <mergeCell ref="H57:J57"/>
    <mergeCell ref="C51:E51"/>
    <mergeCell ref="H51:J51"/>
    <mergeCell ref="B53:K53"/>
    <mergeCell ref="C54:E54"/>
    <mergeCell ref="H54:J54"/>
    <mergeCell ref="C48:E48"/>
    <mergeCell ref="H48:J48"/>
    <mergeCell ref="C49:E49"/>
    <mergeCell ref="H49:J49"/>
    <mergeCell ref="C50:E50"/>
    <mergeCell ref="H50:J50"/>
    <mergeCell ref="C44:E44"/>
    <mergeCell ref="H44:J44"/>
    <mergeCell ref="C45:E45"/>
    <mergeCell ref="H45:J45"/>
    <mergeCell ref="B47:K47"/>
    <mergeCell ref="B41:K41"/>
    <mergeCell ref="C42:E42"/>
    <mergeCell ref="H42:J42"/>
    <mergeCell ref="C43:E43"/>
    <mergeCell ref="H43:J43"/>
    <mergeCell ref="C37:E37"/>
    <mergeCell ref="H37:J37"/>
    <mergeCell ref="C38:E38"/>
    <mergeCell ref="H38:J38"/>
    <mergeCell ref="C39:E39"/>
    <mergeCell ref="H39:J39"/>
    <mergeCell ref="C33:E33"/>
    <mergeCell ref="H33:J33"/>
    <mergeCell ref="B35:K35"/>
    <mergeCell ref="C36:E36"/>
    <mergeCell ref="H36:J36"/>
    <mergeCell ref="C30:E30"/>
    <mergeCell ref="H30:J30"/>
    <mergeCell ref="C31:E31"/>
    <mergeCell ref="H31:J31"/>
    <mergeCell ref="C32:E32"/>
    <mergeCell ref="H32:J32"/>
    <mergeCell ref="C26:E26"/>
    <mergeCell ref="H26:J26"/>
    <mergeCell ref="C27:E27"/>
    <mergeCell ref="H27:J27"/>
    <mergeCell ref="B29:K29"/>
    <mergeCell ref="B23:K23"/>
    <mergeCell ref="C24:E24"/>
    <mergeCell ref="H24:J24"/>
    <mergeCell ref="C25:E25"/>
    <mergeCell ref="H25:J25"/>
    <mergeCell ref="B16:B17"/>
    <mergeCell ref="C16:E17"/>
    <mergeCell ref="N16:N17"/>
    <mergeCell ref="P16:P17"/>
    <mergeCell ref="B18:B19"/>
    <mergeCell ref="C18:E19"/>
    <mergeCell ref="N18:N19"/>
    <mergeCell ref="P18:P19"/>
    <mergeCell ref="B12:B13"/>
    <mergeCell ref="C12:E13"/>
    <mergeCell ref="N12:N13"/>
    <mergeCell ref="P12:P13"/>
    <mergeCell ref="B14:B15"/>
    <mergeCell ref="C14:E15"/>
    <mergeCell ref="N14:N15"/>
    <mergeCell ref="P14:P15"/>
    <mergeCell ref="N8:N9"/>
    <mergeCell ref="P8:P9"/>
    <mergeCell ref="B10:B11"/>
    <mergeCell ref="C10:E11"/>
    <mergeCell ref="N10:N11"/>
    <mergeCell ref="P10:P11"/>
    <mergeCell ref="N4:N5"/>
    <mergeCell ref="P4:P5"/>
    <mergeCell ref="B6:B7"/>
    <mergeCell ref="C6:E7"/>
    <mergeCell ref="N6:N7"/>
    <mergeCell ref="P6:P7"/>
    <mergeCell ref="C3:E3"/>
    <mergeCell ref="B4:B5"/>
    <mergeCell ref="C4:E5"/>
    <mergeCell ref="B8:B9"/>
    <mergeCell ref="C8:E9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Header>&amp;R1410001511Я
Анапа 20.10.24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zoomScaleNormal="100" workbookViewId="0">
      <selection activeCell="L2" sqref="L2"/>
    </sheetView>
  </sheetViews>
  <sheetFormatPr defaultRowHeight="15" x14ac:dyDescent="0.25"/>
  <cols>
    <col min="1" max="1" width="7.140625" customWidth="1"/>
    <col min="2" max="2" width="25.5703125" customWidth="1"/>
    <col min="3" max="3" width="19.140625" customWidth="1"/>
    <col min="4" max="4" width="10.5703125" customWidth="1"/>
    <col min="5" max="5" width="12.28515625" customWidth="1"/>
    <col min="9" max="9" width="16.5703125" customWidth="1"/>
  </cols>
  <sheetData>
    <row r="1" spans="1:6" s="2" customFormat="1" ht="18.75" x14ac:dyDescent="0.3">
      <c r="A1" s="7"/>
      <c r="B1" s="8"/>
      <c r="C1" s="8"/>
      <c r="D1" s="8"/>
      <c r="E1" s="9"/>
    </row>
    <row r="2" spans="1:6" s="2" customFormat="1" ht="18.75" x14ac:dyDescent="0.3">
      <c r="A2" s="7"/>
      <c r="B2" s="8"/>
      <c r="C2" s="8"/>
      <c r="D2" s="11"/>
      <c r="E2" s="17" t="s">
        <v>40</v>
      </c>
    </row>
    <row r="3" spans="1:6" s="2" customFormat="1" ht="18.75" x14ac:dyDescent="0.3">
      <c r="A3" s="7"/>
      <c r="B3" s="8"/>
      <c r="C3" s="8"/>
      <c r="D3" s="8"/>
      <c r="E3" s="10"/>
    </row>
    <row r="4" spans="1:6" s="2" customFormat="1" ht="18.75" x14ac:dyDescent="0.3">
      <c r="A4" s="21" t="s">
        <v>24</v>
      </c>
      <c r="B4" s="23"/>
      <c r="C4" s="23"/>
      <c r="D4" s="23"/>
      <c r="E4" s="22"/>
    </row>
    <row r="5" spans="1:6" s="2" customFormat="1" ht="9.75" customHeight="1" x14ac:dyDescent="0.3">
      <c r="B5" s="4"/>
      <c r="C5" s="4"/>
    </row>
    <row r="6" spans="1:6" s="2" customFormat="1" ht="18.75" x14ac:dyDescent="0.3">
      <c r="B6" s="4" t="s">
        <v>7</v>
      </c>
      <c r="C6" s="4"/>
    </row>
    <row r="7" spans="1:6" ht="31.5" x14ac:dyDescent="0.25">
      <c r="A7" s="14" t="s">
        <v>0</v>
      </c>
      <c r="B7" s="14" t="s">
        <v>1</v>
      </c>
      <c r="C7" s="14" t="s">
        <v>6</v>
      </c>
      <c r="D7" s="1" t="s">
        <v>19</v>
      </c>
      <c r="E7" s="19" t="s">
        <v>20</v>
      </c>
      <c r="F7" s="19" t="s">
        <v>21</v>
      </c>
    </row>
    <row r="8" spans="1:6" ht="15.75" x14ac:dyDescent="0.25">
      <c r="A8" s="1">
        <v>1</v>
      </c>
      <c r="B8" s="1" t="s">
        <v>10</v>
      </c>
      <c r="C8" s="1" t="s">
        <v>5</v>
      </c>
      <c r="D8" s="1">
        <v>15</v>
      </c>
      <c r="E8" s="6"/>
      <c r="F8" s="6"/>
    </row>
    <row r="9" spans="1:6" ht="15.75" x14ac:dyDescent="0.25">
      <c r="A9" s="1">
        <v>2</v>
      </c>
      <c r="B9" s="1" t="s">
        <v>14</v>
      </c>
      <c r="C9" s="1" t="s">
        <v>5</v>
      </c>
      <c r="D9" s="1">
        <v>11.48</v>
      </c>
      <c r="E9" s="6"/>
      <c r="F9" s="6"/>
    </row>
    <row r="10" spans="1:6" ht="15.75" x14ac:dyDescent="0.25">
      <c r="A10" s="1">
        <v>3</v>
      </c>
      <c r="B10" s="1" t="s">
        <v>11</v>
      </c>
      <c r="C10" s="1" t="s">
        <v>4</v>
      </c>
      <c r="D10" s="1">
        <v>8.48</v>
      </c>
      <c r="E10" s="6"/>
      <c r="F10" s="6"/>
    </row>
    <row r="11" spans="1:6" ht="15.75" x14ac:dyDescent="0.25">
      <c r="A11" s="1">
        <v>4</v>
      </c>
      <c r="B11" s="1" t="s">
        <v>25</v>
      </c>
      <c r="C11" s="1" t="s">
        <v>4</v>
      </c>
      <c r="D11" s="1">
        <v>5.85</v>
      </c>
      <c r="E11" s="6"/>
      <c r="F11" s="6"/>
    </row>
    <row r="12" spans="1:6" ht="15.75" x14ac:dyDescent="0.25">
      <c r="A12" s="1">
        <v>5</v>
      </c>
      <c r="B12" s="1" t="s">
        <v>26</v>
      </c>
      <c r="C12" s="1" t="s">
        <v>5</v>
      </c>
      <c r="D12" s="1">
        <v>3.75</v>
      </c>
      <c r="E12" s="6"/>
      <c r="F12" s="6"/>
    </row>
    <row r="13" spans="1:6" ht="15.75" x14ac:dyDescent="0.25">
      <c r="A13" s="1">
        <v>6</v>
      </c>
      <c r="B13" s="1" t="s">
        <v>12</v>
      </c>
      <c r="C13" s="1" t="s">
        <v>5</v>
      </c>
      <c r="D13" s="1">
        <v>2.1</v>
      </c>
      <c r="E13" s="6"/>
      <c r="F13" s="6"/>
    </row>
    <row r="14" spans="1:6" ht="15.75" x14ac:dyDescent="0.25">
      <c r="A14" s="1">
        <v>7</v>
      </c>
      <c r="B14" s="1" t="s">
        <v>13</v>
      </c>
      <c r="C14" s="1" t="s">
        <v>5</v>
      </c>
      <c r="D14" s="1">
        <v>1.05</v>
      </c>
      <c r="E14" s="6"/>
      <c r="F14" s="6"/>
    </row>
    <row r="15" spans="1:6" ht="15.75" x14ac:dyDescent="0.25">
      <c r="A15" s="1">
        <v>8</v>
      </c>
      <c r="B15" s="1" t="s">
        <v>27</v>
      </c>
      <c r="C15" s="1" t="s">
        <v>5</v>
      </c>
      <c r="D15" s="1">
        <v>0.75</v>
      </c>
      <c r="E15" s="6"/>
      <c r="F15" s="6"/>
    </row>
    <row r="16" spans="1:6" ht="15.75" x14ac:dyDescent="0.25">
      <c r="A16" s="1">
        <v>9</v>
      </c>
      <c r="B16" s="1"/>
      <c r="C16" s="1"/>
      <c r="D16" s="1"/>
      <c r="E16" s="6"/>
      <c r="F16" s="6"/>
    </row>
    <row r="17" spans="1:6" ht="15.75" x14ac:dyDescent="0.25">
      <c r="A17" s="1">
        <v>10</v>
      </c>
      <c r="B17" s="1"/>
      <c r="C17" s="1"/>
      <c r="D17" s="1"/>
      <c r="E17" s="6"/>
      <c r="F17" s="6"/>
    </row>
    <row r="18" spans="1:6" ht="15.75" x14ac:dyDescent="0.25">
      <c r="A18" s="1"/>
      <c r="B18" s="1"/>
      <c r="C18" s="1"/>
      <c r="D18" s="1"/>
      <c r="E18" s="6"/>
      <c r="F18" s="6"/>
    </row>
    <row r="19" spans="1:6" ht="15.75" x14ac:dyDescent="0.25">
      <c r="A19" s="1"/>
      <c r="B19" s="1"/>
      <c r="C19" s="18"/>
      <c r="D19" s="1"/>
      <c r="E19" s="6"/>
      <c r="F19" s="6"/>
    </row>
    <row r="20" spans="1:6" ht="15.75" x14ac:dyDescent="0.25">
      <c r="A20" s="1"/>
      <c r="B20" s="1"/>
      <c r="C20" s="18"/>
      <c r="D20" s="1"/>
      <c r="E20" s="6"/>
      <c r="F20" s="6"/>
    </row>
    <row r="21" spans="1:6" ht="15.75" x14ac:dyDescent="0.25">
      <c r="A21" s="1"/>
      <c r="B21" s="1"/>
      <c r="C21" s="18"/>
      <c r="D21" s="1"/>
      <c r="E21" s="6"/>
      <c r="F21" s="6"/>
    </row>
    <row r="22" spans="1:6" ht="15.75" x14ac:dyDescent="0.25">
      <c r="A22" s="1"/>
      <c r="B22" s="1"/>
      <c r="C22" s="1"/>
      <c r="D22" s="1"/>
      <c r="E22" s="6"/>
      <c r="F22" s="6"/>
    </row>
    <row r="23" spans="1:6" ht="15.75" x14ac:dyDescent="0.25">
      <c r="A23" s="1"/>
      <c r="B23" s="1"/>
      <c r="C23" s="1"/>
      <c r="D23" s="1"/>
      <c r="E23" s="6"/>
      <c r="F23" s="6"/>
    </row>
    <row r="24" spans="1:6" ht="15.75" x14ac:dyDescent="0.25">
      <c r="A24" s="1"/>
      <c r="B24" s="1"/>
      <c r="C24" s="1"/>
      <c r="D24" s="1"/>
      <c r="E24" s="6"/>
      <c r="F24" s="6"/>
    </row>
    <row r="25" spans="1:6" ht="15.75" x14ac:dyDescent="0.25">
      <c r="A25" s="1"/>
      <c r="B25" s="1"/>
      <c r="C25" s="1"/>
      <c r="D25" s="1"/>
      <c r="E25" s="6"/>
      <c r="F25" s="6"/>
    </row>
    <row r="26" spans="1:6" ht="15.75" x14ac:dyDescent="0.25">
      <c r="A26" s="1"/>
      <c r="B26" s="1"/>
      <c r="C26" s="1"/>
      <c r="D26" s="1"/>
      <c r="E26" s="6"/>
      <c r="F26" s="6"/>
    </row>
    <row r="27" spans="1:6" ht="15.75" x14ac:dyDescent="0.25">
      <c r="A27" s="1"/>
      <c r="B27" s="1"/>
      <c r="C27" s="1"/>
      <c r="D27" s="1"/>
      <c r="E27" s="6"/>
      <c r="F27" s="6"/>
    </row>
    <row r="28" spans="1:6" ht="15.75" x14ac:dyDescent="0.25">
      <c r="A28" s="1"/>
      <c r="B28" s="1"/>
      <c r="C28" s="1"/>
      <c r="D28" s="1"/>
      <c r="E28" s="6"/>
      <c r="F28" s="6"/>
    </row>
    <row r="29" spans="1:6" ht="15.75" x14ac:dyDescent="0.25">
      <c r="A29" s="1"/>
      <c r="B29" s="1"/>
      <c r="C29" s="1"/>
      <c r="D29" s="1"/>
      <c r="E29" s="6"/>
      <c r="F29" s="6"/>
    </row>
    <row r="30" spans="1:6" ht="15.75" x14ac:dyDescent="0.25">
      <c r="A30" s="6"/>
      <c r="B30" s="1"/>
      <c r="C30" s="6"/>
      <c r="D30" s="6"/>
      <c r="E30" s="6"/>
      <c r="F30" s="6"/>
    </row>
    <row r="31" spans="1:6" ht="15.75" x14ac:dyDescent="0.25">
      <c r="A31" s="6"/>
      <c r="B31" s="1"/>
      <c r="C31" s="6"/>
      <c r="D31" s="6"/>
      <c r="E31" s="6"/>
      <c r="F31" s="6"/>
    </row>
    <row r="32" spans="1:6" s="13" customFormat="1" ht="15.75" x14ac:dyDescent="0.25">
      <c r="A32" s="6"/>
      <c r="B32" s="1"/>
      <c r="C32" s="6"/>
      <c r="D32" s="6"/>
      <c r="E32" s="6"/>
      <c r="F32" s="6"/>
    </row>
    <row r="33" spans="1:6" s="13" customFormat="1" ht="15.75" x14ac:dyDescent="0.25">
      <c r="A33" s="6"/>
      <c r="B33" s="1"/>
      <c r="C33" s="6"/>
      <c r="D33" s="6"/>
      <c r="E33" s="6"/>
      <c r="F33" s="6"/>
    </row>
    <row r="34" spans="1:6" s="13" customFormat="1" ht="15.75" x14ac:dyDescent="0.25">
      <c r="A34" s="6"/>
      <c r="B34" s="1"/>
      <c r="C34" s="6"/>
      <c r="D34" s="6"/>
      <c r="E34" s="6"/>
      <c r="F34" s="6"/>
    </row>
    <row r="35" spans="1:6" s="13" customFormat="1" ht="15.75" x14ac:dyDescent="0.25">
      <c r="A35" s="6"/>
      <c r="B35" s="1"/>
      <c r="C35" s="6"/>
      <c r="D35" s="6"/>
      <c r="E35" s="6"/>
      <c r="F35" s="6"/>
    </row>
    <row r="36" spans="1:6" s="13" customFormat="1" ht="15.75" x14ac:dyDescent="0.25">
      <c r="A36" s="6"/>
      <c r="B36" s="1"/>
      <c r="C36" s="6"/>
      <c r="D36" s="6"/>
      <c r="E36" s="6"/>
      <c r="F36" s="6"/>
    </row>
    <row r="37" spans="1:6" s="13" customFormat="1" ht="15.75" x14ac:dyDescent="0.25">
      <c r="A37" s="6"/>
      <c r="B37" s="1"/>
      <c r="C37" s="6"/>
      <c r="D37" s="6"/>
      <c r="E37" s="6"/>
      <c r="F37" s="6"/>
    </row>
    <row r="38" spans="1:6" s="13" customFormat="1" x14ac:dyDescent="0.25"/>
    <row r="39" spans="1:6" s="2" customFormat="1" ht="18.75" x14ac:dyDescent="0.3">
      <c r="A39" s="13"/>
      <c r="B39" s="5" t="s">
        <v>8</v>
      </c>
      <c r="C39" s="5"/>
      <c r="D39" s="5"/>
    </row>
    <row r="40" spans="1:6" s="2" customFormat="1" ht="18.75" x14ac:dyDescent="0.3">
      <c r="A40" s="13"/>
      <c r="B40" s="5"/>
      <c r="C40" s="5"/>
      <c r="D40" s="5"/>
    </row>
    <row r="41" spans="1:6" s="2" customFormat="1" ht="18.75" x14ac:dyDescent="0.3">
      <c r="A41" s="5"/>
      <c r="B41" s="5" t="s">
        <v>22</v>
      </c>
      <c r="C41" s="5"/>
      <c r="D41" s="5"/>
    </row>
  </sheetData>
  <sortState ref="A7:E26">
    <sortCondition ref="A7:A26"/>
  </sortState>
  <mergeCells count="1">
    <mergeCell ref="A4:E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&amp;C&amp;12РОО "Федерация спортивных дисциплин боулспорта Краснодарского края"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Заявка</vt:lpstr>
      <vt:lpstr>Группа</vt:lpstr>
      <vt:lpstr>Итог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</dc:creator>
  <cp:lastModifiedBy>Макс</cp:lastModifiedBy>
  <cp:lastPrinted>2026-03-29T19:25:53Z</cp:lastPrinted>
  <dcterms:created xsi:type="dcterms:W3CDTF">2023-12-22T10:40:33Z</dcterms:created>
  <dcterms:modified xsi:type="dcterms:W3CDTF">2026-03-29T19:50:13Z</dcterms:modified>
</cp:coreProperties>
</file>