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ЭтаКнига" defaultThemeVersion="124226"/>
  <bookViews>
    <workbookView xWindow="0" yWindow="0" windowWidth="19200" windowHeight="8145"/>
  </bookViews>
  <sheets>
    <sheet name="Кубок ВФБ мужчины" sheetId="57" r:id="rId1"/>
    <sheet name="Итоги Кубок ВФБ муж" sheetId="50" r:id="rId2"/>
    <sheet name="Кубок ВФБ группа А жен" sheetId="58" r:id="rId3"/>
    <sheet name="Кубок ВФБ группа В жен" sheetId="59" r:id="rId4"/>
    <sheet name="Кубок ВФБ кубок А жен" sheetId="60" r:id="rId5"/>
    <sheet name="Кубок ВФБ кубок В жен" sheetId="61" r:id="rId6"/>
    <sheet name="Кубок ВФБ кубок С жен" sheetId="62" r:id="rId7"/>
    <sheet name="Итоги Кубок ВФБ жен" sheetId="63" r:id="rId8"/>
    <sheet name="Петанк-двойка-смешанная" sheetId="56" r:id="rId9"/>
    <sheet name="Итоги Чемпионат ВФБ двойка-смеш" sheetId="55" r:id="rId10"/>
    <sheet name="Служебный лист" sheetId="4" state="hidden" r:id="rId11"/>
  </sheets>
  <calcPr calcId="114210"/>
</workbook>
</file>

<file path=xl/calcChain.xml><?xml version="1.0" encoding="utf-8"?>
<calcChain xmlns="http://schemas.openxmlformats.org/spreadsheetml/2006/main">
  <c r="F6" i="62"/>
  <c r="J10"/>
  <c r="F14"/>
  <c r="B20"/>
  <c r="F22"/>
  <c r="B24"/>
  <c r="F6" i="61"/>
  <c r="J10"/>
  <c r="F14"/>
  <c r="B20"/>
  <c r="F22"/>
  <c r="B24"/>
  <c r="G4" i="59"/>
  <c r="H4"/>
  <c r="I4"/>
  <c r="J4"/>
  <c r="K4"/>
  <c r="G5"/>
  <c r="H5"/>
  <c r="I5"/>
  <c r="J5"/>
  <c r="K5"/>
  <c r="L4"/>
  <c r="M5"/>
  <c r="F6"/>
  <c r="H6"/>
  <c r="I6"/>
  <c r="J6"/>
  <c r="K6"/>
  <c r="F7"/>
  <c r="H7"/>
  <c r="I7"/>
  <c r="J7"/>
  <c r="K7"/>
  <c r="L6"/>
  <c r="M7"/>
  <c r="F8"/>
  <c r="G8"/>
  <c r="I8"/>
  <c r="J8"/>
  <c r="K8"/>
  <c r="F9"/>
  <c r="G9"/>
  <c r="I9"/>
  <c r="J9"/>
  <c r="K9"/>
  <c r="L8"/>
  <c r="M9"/>
  <c r="F10"/>
  <c r="G10"/>
  <c r="H10"/>
  <c r="J10"/>
  <c r="K10"/>
  <c r="F11"/>
  <c r="G11"/>
  <c r="H11"/>
  <c r="J11"/>
  <c r="K11"/>
  <c r="L10"/>
  <c r="M11"/>
  <c r="F12"/>
  <c r="G12"/>
  <c r="H12"/>
  <c r="I12"/>
  <c r="K12"/>
  <c r="F13"/>
  <c r="G13"/>
  <c r="H13"/>
  <c r="I13"/>
  <c r="K13"/>
  <c r="L12"/>
  <c r="M13"/>
  <c r="F14"/>
  <c r="G14"/>
  <c r="H14"/>
  <c r="I14"/>
  <c r="J14"/>
  <c r="F15"/>
  <c r="G15"/>
  <c r="H15"/>
  <c r="I15"/>
  <c r="J15"/>
  <c r="L14"/>
  <c r="M15"/>
  <c r="C20"/>
  <c r="H20"/>
  <c r="C21"/>
  <c r="H21"/>
  <c r="C22"/>
  <c r="H22"/>
  <c r="C25"/>
  <c r="H25"/>
  <c r="C26"/>
  <c r="H26"/>
  <c r="C27"/>
  <c r="H27"/>
  <c r="C30"/>
  <c r="H30"/>
  <c r="C31"/>
  <c r="H31"/>
  <c r="C32"/>
  <c r="H32"/>
  <c r="C35"/>
  <c r="H35"/>
  <c r="C36"/>
  <c r="H36"/>
  <c r="C37"/>
  <c r="H37"/>
  <c r="C40"/>
  <c r="H40"/>
  <c r="C41"/>
  <c r="H41"/>
  <c r="C42"/>
  <c r="H42"/>
  <c r="G4" i="58"/>
  <c r="H4"/>
  <c r="I4"/>
  <c r="J4"/>
  <c r="K4"/>
  <c r="G5"/>
  <c r="H5"/>
  <c r="I5"/>
  <c r="J5"/>
  <c r="K5"/>
  <c r="L4"/>
  <c r="M5"/>
  <c r="F6"/>
  <c r="H6"/>
  <c r="I6"/>
  <c r="J6"/>
  <c r="K6"/>
  <c r="F7"/>
  <c r="H7"/>
  <c r="I7"/>
  <c r="J7"/>
  <c r="K7"/>
  <c r="L6"/>
  <c r="M7"/>
  <c r="F8"/>
  <c r="G8"/>
  <c r="I8"/>
  <c r="J8"/>
  <c r="K8"/>
  <c r="F9"/>
  <c r="G9"/>
  <c r="I9"/>
  <c r="J9"/>
  <c r="K9"/>
  <c r="L8"/>
  <c r="M9"/>
  <c r="F10"/>
  <c r="G10"/>
  <c r="H10"/>
  <c r="J10"/>
  <c r="K10"/>
  <c r="F11"/>
  <c r="G11"/>
  <c r="H11"/>
  <c r="J11"/>
  <c r="K11"/>
  <c r="L10"/>
  <c r="M11"/>
  <c r="F12"/>
  <c r="G12"/>
  <c r="H12"/>
  <c r="I12"/>
  <c r="K12"/>
  <c r="F13"/>
  <c r="G13"/>
  <c r="H13"/>
  <c r="I13"/>
  <c r="K13"/>
  <c r="L12"/>
  <c r="M13"/>
  <c r="F14"/>
  <c r="G14"/>
  <c r="H14"/>
  <c r="I14"/>
  <c r="J14"/>
  <c r="F15"/>
  <c r="G15"/>
  <c r="H15"/>
  <c r="I15"/>
  <c r="J15"/>
  <c r="L14"/>
  <c r="M15"/>
  <c r="C20"/>
  <c r="H20"/>
  <c r="C21"/>
  <c r="H21"/>
  <c r="C22"/>
  <c r="H22"/>
  <c r="C25"/>
  <c r="H25"/>
  <c r="C26"/>
  <c r="H26"/>
  <c r="C27"/>
  <c r="H27"/>
  <c r="C30"/>
  <c r="H30"/>
  <c r="C31"/>
  <c r="H31"/>
  <c r="C32"/>
  <c r="H32"/>
  <c r="C35"/>
  <c r="H35"/>
  <c r="C36"/>
  <c r="H36"/>
  <c r="C37"/>
  <c r="H37"/>
  <c r="C40"/>
  <c r="H40"/>
  <c r="C41"/>
  <c r="H41"/>
  <c r="C42"/>
  <c r="H42"/>
  <c r="F6" i="60"/>
  <c r="J10"/>
  <c r="F14"/>
  <c r="N18"/>
  <c r="F22"/>
  <c r="J26"/>
  <c r="F30"/>
  <c r="B36"/>
  <c r="F38"/>
  <c r="B40"/>
  <c r="G4" i="57"/>
  <c r="H4"/>
  <c r="I4"/>
  <c r="J4"/>
  <c r="K4"/>
  <c r="L4"/>
  <c r="M4"/>
  <c r="N4"/>
  <c r="O4"/>
  <c r="G5"/>
  <c r="H5"/>
  <c r="I5"/>
  <c r="J5"/>
  <c r="K5"/>
  <c r="L5"/>
  <c r="M5"/>
  <c r="N5"/>
  <c r="O5"/>
  <c r="P4"/>
  <c r="F6"/>
  <c r="H6"/>
  <c r="I6"/>
  <c r="J6"/>
  <c r="K6"/>
  <c r="L6"/>
  <c r="M6"/>
  <c r="N6"/>
  <c r="O6"/>
  <c r="F7"/>
  <c r="H7"/>
  <c r="I7"/>
  <c r="J7"/>
  <c r="K7"/>
  <c r="L7"/>
  <c r="M7"/>
  <c r="N7"/>
  <c r="O7"/>
  <c r="P6"/>
  <c r="F8"/>
  <c r="G8"/>
  <c r="I8"/>
  <c r="J8"/>
  <c r="K8"/>
  <c r="L8"/>
  <c r="M8"/>
  <c r="N8"/>
  <c r="O8"/>
  <c r="F9"/>
  <c r="G9"/>
  <c r="I9"/>
  <c r="J9"/>
  <c r="K9"/>
  <c r="L9"/>
  <c r="M9"/>
  <c r="N9"/>
  <c r="O9"/>
  <c r="P8"/>
  <c r="F10"/>
  <c r="G10"/>
  <c r="H10"/>
  <c r="J10"/>
  <c r="K10"/>
  <c r="L10"/>
  <c r="M10"/>
  <c r="N10"/>
  <c r="O10"/>
  <c r="F11"/>
  <c r="G11"/>
  <c r="H11"/>
  <c r="J11"/>
  <c r="K11"/>
  <c r="L11"/>
  <c r="M11"/>
  <c r="N11"/>
  <c r="O11"/>
  <c r="P10"/>
  <c r="F12"/>
  <c r="G12"/>
  <c r="H12"/>
  <c r="I12"/>
  <c r="K12"/>
  <c r="L12"/>
  <c r="M12"/>
  <c r="N12"/>
  <c r="O12"/>
  <c r="F13"/>
  <c r="G13"/>
  <c r="H13"/>
  <c r="I13"/>
  <c r="K13"/>
  <c r="L13"/>
  <c r="M13"/>
  <c r="N13"/>
  <c r="O13"/>
  <c r="P12"/>
  <c r="F14"/>
  <c r="G14"/>
  <c r="H14"/>
  <c r="I14"/>
  <c r="J14"/>
  <c r="L14"/>
  <c r="M14"/>
  <c r="N14"/>
  <c r="O14"/>
  <c r="F15"/>
  <c r="G15"/>
  <c r="H15"/>
  <c r="I15"/>
  <c r="J15"/>
  <c r="L15"/>
  <c r="M15"/>
  <c r="N15"/>
  <c r="O15"/>
  <c r="P14"/>
  <c r="F16"/>
  <c r="G16"/>
  <c r="H16"/>
  <c r="I16"/>
  <c r="J16"/>
  <c r="K16"/>
  <c r="M16"/>
  <c r="N16"/>
  <c r="O16"/>
  <c r="F17"/>
  <c r="G17"/>
  <c r="H17"/>
  <c r="I17"/>
  <c r="J17"/>
  <c r="K17"/>
  <c r="M17"/>
  <c r="N17"/>
  <c r="O17"/>
  <c r="P16"/>
  <c r="F18"/>
  <c r="G18"/>
  <c r="H18"/>
  <c r="I18"/>
  <c r="J18"/>
  <c r="K18"/>
  <c r="L18"/>
  <c r="N18"/>
  <c r="O18"/>
  <c r="F19"/>
  <c r="G19"/>
  <c r="H19"/>
  <c r="I19"/>
  <c r="J19"/>
  <c r="K19"/>
  <c r="L19"/>
  <c r="N19"/>
  <c r="O19"/>
  <c r="P18"/>
  <c r="F20"/>
  <c r="G20"/>
  <c r="H20"/>
  <c r="I20"/>
  <c r="J20"/>
  <c r="K20"/>
  <c r="L20"/>
  <c r="M20"/>
  <c r="O20"/>
  <c r="F21"/>
  <c r="G21"/>
  <c r="H21"/>
  <c r="I21"/>
  <c r="J21"/>
  <c r="K21"/>
  <c r="L21"/>
  <c r="M21"/>
  <c r="O21"/>
  <c r="P20"/>
  <c r="F22"/>
  <c r="G22"/>
  <c r="H22"/>
  <c r="I22"/>
  <c r="J22"/>
  <c r="K22"/>
  <c r="L22"/>
  <c r="M22"/>
  <c r="N22"/>
  <c r="F23"/>
  <c r="G23"/>
  <c r="H23"/>
  <c r="I23"/>
  <c r="J23"/>
  <c r="K23"/>
  <c r="L23"/>
  <c r="M23"/>
  <c r="N23"/>
  <c r="P22"/>
  <c r="C28"/>
  <c r="H28"/>
  <c r="C29"/>
  <c r="H29"/>
  <c r="C30"/>
  <c r="H30"/>
  <c r="C31"/>
  <c r="H31"/>
  <c r="C35"/>
  <c r="H35"/>
  <c r="C36"/>
  <c r="H36"/>
  <c r="C37"/>
  <c r="H37"/>
  <c r="C38"/>
  <c r="H38"/>
  <c r="C42"/>
  <c r="H42"/>
  <c r="C43"/>
  <c r="H43"/>
  <c r="C44"/>
  <c r="H44"/>
  <c r="C45"/>
  <c r="H45"/>
  <c r="C49"/>
  <c r="H49"/>
  <c r="C50"/>
  <c r="H50"/>
  <c r="C51"/>
  <c r="H51"/>
  <c r="C52"/>
  <c r="H52"/>
  <c r="C56"/>
  <c r="H56"/>
  <c r="C57"/>
  <c r="H57"/>
  <c r="C58"/>
  <c r="H58"/>
  <c r="C59"/>
  <c r="H59"/>
  <c r="C63"/>
  <c r="H63"/>
  <c r="C64"/>
  <c r="H64"/>
  <c r="C65"/>
  <c r="H65"/>
  <c r="C66"/>
  <c r="H66"/>
  <c r="C70"/>
  <c r="H70"/>
  <c r="C71"/>
  <c r="H71"/>
  <c r="C72"/>
  <c r="H72"/>
  <c r="C73"/>
  <c r="H73"/>
  <c r="C77"/>
  <c r="H77"/>
  <c r="C78"/>
  <c r="H78"/>
  <c r="C79"/>
  <c r="H79"/>
  <c r="C80"/>
  <c r="H80"/>
  <c r="C84"/>
  <c r="H84"/>
  <c r="C85"/>
  <c r="H85"/>
  <c r="C86"/>
  <c r="H86"/>
  <c r="C87"/>
  <c r="H87"/>
  <c r="G4" i="56"/>
  <c r="H4"/>
  <c r="I4"/>
  <c r="J4"/>
  <c r="K4"/>
  <c r="G5"/>
  <c r="H5"/>
  <c r="I5"/>
  <c r="J5"/>
  <c r="K5"/>
  <c r="L4"/>
  <c r="F6"/>
  <c r="H6"/>
  <c r="I6"/>
  <c r="J6"/>
  <c r="K6"/>
  <c r="F7"/>
  <c r="H7"/>
  <c r="I7"/>
  <c r="J7"/>
  <c r="K7"/>
  <c r="L6"/>
  <c r="F8"/>
  <c r="G8"/>
  <c r="I8"/>
  <c r="J8"/>
  <c r="K8"/>
  <c r="F9"/>
  <c r="G9"/>
  <c r="I9"/>
  <c r="J9"/>
  <c r="K9"/>
  <c r="L8"/>
  <c r="F10"/>
  <c r="G10"/>
  <c r="H10"/>
  <c r="J10"/>
  <c r="K10"/>
  <c r="F11"/>
  <c r="G11"/>
  <c r="H11"/>
  <c r="J11"/>
  <c r="K11"/>
  <c r="L10"/>
  <c r="F12"/>
  <c r="G12"/>
  <c r="H12"/>
  <c r="I12"/>
  <c r="K12"/>
  <c r="F13"/>
  <c r="G13"/>
  <c r="H13"/>
  <c r="I13"/>
  <c r="K13"/>
  <c r="L12"/>
  <c r="F14"/>
  <c r="G14"/>
  <c r="H14"/>
  <c r="I14"/>
  <c r="J14"/>
  <c r="F15"/>
  <c r="G15"/>
  <c r="H15"/>
  <c r="I15"/>
  <c r="J15"/>
  <c r="L14"/>
  <c r="C20"/>
  <c r="H20"/>
  <c r="C21"/>
  <c r="H21"/>
  <c r="C22"/>
  <c r="H22"/>
  <c r="C25"/>
  <c r="H25"/>
  <c r="C26"/>
  <c r="H26"/>
  <c r="C27"/>
  <c r="H27"/>
  <c r="C30"/>
  <c r="H30"/>
  <c r="C31"/>
  <c r="H31"/>
  <c r="C32"/>
  <c r="H32"/>
  <c r="C35"/>
  <c r="H35"/>
  <c r="C36"/>
  <c r="H36"/>
  <c r="C37"/>
  <c r="H37"/>
  <c r="C40"/>
  <c r="H40"/>
  <c r="C41"/>
  <c r="H41"/>
  <c r="C42"/>
  <c r="H42"/>
  <c r="I25" i="4"/>
  <c r="J25"/>
  <c r="I26"/>
  <c r="J26"/>
  <c r="I27"/>
  <c r="J27"/>
  <c r="I28"/>
  <c r="J28"/>
  <c r="I30"/>
  <c r="J30"/>
  <c r="I31"/>
  <c r="J31"/>
  <c r="I32"/>
  <c r="J32"/>
  <c r="I33"/>
  <c r="J33"/>
  <c r="I34"/>
  <c r="J34"/>
  <c r="I36"/>
  <c r="J36"/>
  <c r="I37"/>
  <c r="J37"/>
  <c r="I38"/>
  <c r="J38"/>
  <c r="I39"/>
  <c r="J39"/>
  <c r="I40"/>
  <c r="J40"/>
  <c r="I42"/>
  <c r="J42"/>
  <c r="I43"/>
  <c r="J43"/>
  <c r="I44"/>
  <c r="J44"/>
  <c r="I45"/>
  <c r="J45"/>
  <c r="I46"/>
  <c r="J46"/>
  <c r="I48"/>
  <c r="J48"/>
  <c r="I49"/>
  <c r="J49"/>
  <c r="I50"/>
  <c r="J50"/>
  <c r="I51"/>
  <c r="J51"/>
  <c r="I52"/>
  <c r="J52"/>
  <c r="I54"/>
  <c r="J54"/>
  <c r="I55"/>
  <c r="J55"/>
  <c r="I56"/>
  <c r="J56"/>
  <c r="I57"/>
  <c r="J57"/>
  <c r="I58"/>
  <c r="J58"/>
  <c r="I60"/>
  <c r="J60"/>
  <c r="I61"/>
  <c r="J61"/>
  <c r="I62"/>
  <c r="J62"/>
  <c r="I63"/>
  <c r="J63"/>
  <c r="J24"/>
  <c r="I24"/>
  <c r="A8"/>
  <c r="B8"/>
  <c r="C8"/>
  <c r="D8"/>
  <c r="O8"/>
  <c r="E8"/>
  <c r="F8"/>
  <c r="G8"/>
  <c r="H8"/>
  <c r="S8"/>
  <c r="H1"/>
  <c r="H2"/>
  <c r="H3"/>
  <c r="H4"/>
  <c r="AB4"/>
  <c r="H5"/>
  <c r="H6"/>
  <c r="H7"/>
  <c r="O25"/>
  <c r="S25"/>
  <c r="S26"/>
  <c r="O26"/>
  <c r="AB17"/>
  <c r="AB18"/>
  <c r="S7"/>
  <c r="R8"/>
  <c r="AB6"/>
  <c r="AB2"/>
  <c r="Q8"/>
  <c r="M8"/>
  <c r="S3"/>
  <c r="N8"/>
  <c r="S5"/>
  <c r="S1"/>
  <c r="P8"/>
  <c r="L8"/>
  <c r="S2"/>
  <c r="S6"/>
  <c r="S4"/>
  <c r="AB7"/>
  <c r="AB5"/>
  <c r="AB3"/>
  <c r="AB1"/>
  <c r="AA8"/>
  <c r="Y8"/>
  <c r="W8"/>
  <c r="U8"/>
  <c r="AB8"/>
  <c r="Z8"/>
  <c r="X8"/>
  <c r="V8"/>
  <c r="A7"/>
  <c r="B7"/>
  <c r="M7"/>
  <c r="C7"/>
  <c r="D7"/>
  <c r="O7"/>
  <c r="E7"/>
  <c r="F7"/>
  <c r="Q7"/>
  <c r="G7"/>
  <c r="F2"/>
  <c r="G2"/>
  <c r="F3"/>
  <c r="G3"/>
  <c r="AA3"/>
  <c r="F4"/>
  <c r="G4"/>
  <c r="F5"/>
  <c r="G5"/>
  <c r="F6"/>
  <c r="G6"/>
  <c r="G1"/>
  <c r="AA1"/>
  <c r="AA6"/>
  <c r="AA5"/>
  <c r="AA4"/>
  <c r="AA2"/>
  <c r="AA7"/>
  <c r="Y7"/>
  <c r="W7"/>
  <c r="U7"/>
  <c r="R5"/>
  <c r="R3"/>
  <c r="R1"/>
  <c r="Z7"/>
  <c r="X7"/>
  <c r="V7"/>
  <c r="R7"/>
  <c r="P7"/>
  <c r="N7"/>
  <c r="L7"/>
  <c r="R6"/>
  <c r="R4"/>
  <c r="R2"/>
  <c r="AB26"/>
  <c r="P26"/>
  <c r="L26"/>
  <c r="R20"/>
  <c r="Y26"/>
  <c r="AA11"/>
  <c r="AB21"/>
  <c r="AB24"/>
  <c r="R18"/>
  <c r="AA19"/>
  <c r="AA13"/>
  <c r="U25"/>
  <c r="AB25"/>
  <c r="X26"/>
  <c r="R21"/>
  <c r="S22"/>
  <c r="S11"/>
  <c r="AA14"/>
  <c r="R23"/>
  <c r="V23"/>
  <c r="P25"/>
  <c r="AA26"/>
  <c r="R11"/>
  <c r="V25"/>
  <c r="W26"/>
  <c r="U23"/>
  <c r="S16"/>
  <c r="S13"/>
  <c r="M24"/>
  <c r="R24"/>
  <c r="V24"/>
  <c r="AA16"/>
  <c r="AA25"/>
  <c r="S14"/>
  <c r="Z23"/>
  <c r="R26"/>
  <c r="AB12"/>
  <c r="W23"/>
  <c r="Z26"/>
  <c r="Z24"/>
  <c r="AB23"/>
  <c r="N24"/>
  <c r="AB16"/>
  <c r="X25"/>
  <c r="R12"/>
  <c r="R13"/>
  <c r="R25"/>
  <c r="S18"/>
  <c r="AB13"/>
  <c r="S23"/>
  <c r="U26"/>
  <c r="L25"/>
  <c r="R17"/>
  <c r="R16"/>
  <c r="Q25"/>
  <c r="S21"/>
  <c r="W25"/>
  <c r="AA21"/>
  <c r="O24"/>
  <c r="AA12"/>
  <c r="S19"/>
  <c r="R15"/>
  <c r="AB20"/>
  <c r="S15"/>
  <c r="Y23"/>
  <c r="AB22"/>
  <c r="R19"/>
  <c r="X23"/>
  <c r="Y24"/>
  <c r="Z25"/>
  <c r="O23"/>
  <c r="S20"/>
  <c r="AA15"/>
  <c r="W24"/>
  <c r="S24"/>
  <c r="M26"/>
  <c r="P24"/>
  <c r="Q26"/>
  <c r="N25"/>
  <c r="AB15"/>
  <c r="X24"/>
  <c r="N23"/>
  <c r="S12"/>
  <c r="N26"/>
  <c r="AA18"/>
  <c r="AB11"/>
  <c r="AA24"/>
  <c r="L23"/>
  <c r="Q24"/>
  <c r="R14"/>
  <c r="AA17"/>
  <c r="M23"/>
  <c r="P23"/>
  <c r="M25"/>
  <c r="R22"/>
  <c r="S17"/>
  <c r="Y25"/>
  <c r="U24"/>
  <c r="V26"/>
  <c r="AB19"/>
  <c r="L24"/>
  <c r="Q23"/>
  <c r="AA22"/>
  <c r="AA20"/>
  <c r="AB14"/>
  <c r="AA23"/>
  <c r="Q40"/>
  <c r="L41"/>
  <c r="S34"/>
  <c r="R39"/>
  <c r="M42"/>
  <c r="P40"/>
  <c r="M40"/>
  <c r="R31"/>
  <c r="Q41"/>
  <c r="L40"/>
  <c r="N43"/>
  <c r="S29"/>
  <c r="N40"/>
  <c r="N42"/>
  <c r="Q43"/>
  <c r="P41"/>
  <c r="M43"/>
  <c r="S41"/>
  <c r="S37"/>
  <c r="O40"/>
  <c r="R36"/>
  <c r="S32"/>
  <c r="R32"/>
  <c r="S36"/>
  <c r="O41"/>
  <c r="S38"/>
  <c r="Q42"/>
  <c r="R33"/>
  <c r="R34"/>
  <c r="L42"/>
  <c r="S40"/>
  <c r="S35"/>
  <c r="R42"/>
  <c r="R30"/>
  <c r="R29"/>
  <c r="O42"/>
  <c r="N41"/>
  <c r="R43"/>
  <c r="S31"/>
  <c r="R41"/>
  <c r="M41"/>
  <c r="S30"/>
  <c r="S33"/>
  <c r="R28"/>
  <c r="P42"/>
  <c r="R40"/>
  <c r="S28"/>
  <c r="S39"/>
  <c r="R38"/>
  <c r="O43"/>
  <c r="S42"/>
  <c r="R35"/>
  <c r="R37"/>
  <c r="L43"/>
  <c r="P43"/>
  <c r="S43"/>
  <c r="A6"/>
  <c r="B6"/>
  <c r="C6"/>
  <c r="D6"/>
  <c r="E6"/>
  <c r="F1"/>
  <c r="A5"/>
  <c r="B5"/>
  <c r="C5"/>
  <c r="D5"/>
  <c r="E5"/>
  <c r="E1"/>
  <c r="E2"/>
  <c r="E3"/>
  <c r="E4"/>
  <c r="A4"/>
  <c r="B4"/>
  <c r="C4"/>
  <c r="D4"/>
  <c r="D1"/>
  <c r="D2"/>
  <c r="D3"/>
  <c r="Z2"/>
  <c r="Z4"/>
  <c r="Z6"/>
  <c r="V6"/>
  <c r="X6"/>
  <c r="Z1"/>
  <c r="Z3"/>
  <c r="Z5"/>
  <c r="U6"/>
  <c r="W6"/>
  <c r="Y6"/>
  <c r="Y2"/>
  <c r="Y4"/>
  <c r="U5"/>
  <c r="W5"/>
  <c r="Y1"/>
  <c r="Y3"/>
  <c r="Y5"/>
  <c r="V5"/>
  <c r="X5"/>
  <c r="O3"/>
  <c r="O2"/>
  <c r="X3"/>
  <c r="X1"/>
  <c r="W4"/>
  <c r="U4"/>
  <c r="L6"/>
  <c r="N6"/>
  <c r="P6"/>
  <c r="Q1"/>
  <c r="Q3"/>
  <c r="Q5"/>
  <c r="M6"/>
  <c r="O6"/>
  <c r="Q6"/>
  <c r="Q2"/>
  <c r="Q4"/>
  <c r="L5"/>
  <c r="N5"/>
  <c r="P5"/>
  <c r="P2"/>
  <c r="P4"/>
  <c r="M5"/>
  <c r="O5"/>
  <c r="P1"/>
  <c r="P3"/>
  <c r="M4"/>
  <c r="L4"/>
  <c r="N4"/>
  <c r="O4"/>
  <c r="O1"/>
  <c r="X2"/>
  <c r="X4"/>
  <c r="V4"/>
  <c r="X13"/>
  <c r="P12"/>
  <c r="Y21"/>
  <c r="X18"/>
  <c r="V22"/>
  <c r="V17"/>
  <c r="Q21"/>
  <c r="L22"/>
  <c r="Z12"/>
  <c r="O14"/>
  <c r="N22"/>
  <c r="Y20"/>
  <c r="U18"/>
  <c r="V20"/>
  <c r="Q20"/>
  <c r="N21"/>
  <c r="Z15"/>
  <c r="P17"/>
  <c r="U20"/>
  <c r="Z20"/>
  <c r="Y13"/>
  <c r="Z13"/>
  <c r="P16"/>
  <c r="U17"/>
  <c r="P20"/>
  <c r="Y11"/>
  <c r="P21"/>
  <c r="Q13"/>
  <c r="Z16"/>
  <c r="U21"/>
  <c r="Z18"/>
  <c r="L18"/>
  <c r="P18"/>
  <c r="X22"/>
  <c r="Z11"/>
  <c r="N19"/>
  <c r="O21"/>
  <c r="X19"/>
  <c r="Q22"/>
  <c r="W21"/>
  <c r="W17"/>
  <c r="Q11"/>
  <c r="Q15"/>
  <c r="Y22"/>
  <c r="O16"/>
  <c r="L19"/>
  <c r="Q16"/>
  <c r="W18"/>
  <c r="P11"/>
  <c r="O15"/>
  <c r="Y16"/>
  <c r="L21"/>
  <c r="Y19"/>
  <c r="Z19"/>
  <c r="N18"/>
  <c r="V19"/>
  <c r="Y12"/>
  <c r="P22"/>
  <c r="Y17"/>
  <c r="M17"/>
  <c r="Q12"/>
  <c r="P15"/>
  <c r="Q18"/>
  <c r="O19"/>
  <c r="O11"/>
  <c r="V18"/>
  <c r="W22"/>
  <c r="P14"/>
  <c r="Y18"/>
  <c r="Q14"/>
  <c r="Y15"/>
  <c r="U19"/>
  <c r="O18"/>
  <c r="X14"/>
  <c r="Z21"/>
  <c r="M21"/>
  <c r="M18"/>
  <c r="X12"/>
  <c r="X15"/>
  <c r="L20"/>
  <c r="Z17"/>
  <c r="X11"/>
  <c r="N17"/>
  <c r="X20"/>
  <c r="O20"/>
  <c r="O22"/>
  <c r="O13"/>
  <c r="M22"/>
  <c r="N20"/>
  <c r="Z14"/>
  <c r="M19"/>
  <c r="O17"/>
  <c r="O12"/>
  <c r="P13"/>
  <c r="V21"/>
  <c r="W19"/>
  <c r="P19"/>
  <c r="X17"/>
  <c r="M20"/>
  <c r="L17"/>
  <c r="W20"/>
  <c r="Y14"/>
  <c r="Z22"/>
  <c r="Q19"/>
  <c r="U22"/>
  <c r="X16"/>
  <c r="X21"/>
  <c r="Q17"/>
  <c r="Q32"/>
  <c r="P32"/>
  <c r="O37"/>
  <c r="P34"/>
  <c r="Q34"/>
  <c r="P39"/>
  <c r="L34"/>
  <c r="P37"/>
  <c r="Q38"/>
  <c r="Q29"/>
  <c r="O34"/>
  <c r="O33"/>
  <c r="Q35"/>
  <c r="O39"/>
  <c r="N35"/>
  <c r="N34"/>
  <c r="L35"/>
  <c r="M39"/>
  <c r="Q37"/>
  <c r="P30"/>
  <c r="L38"/>
  <c r="Q36"/>
  <c r="N36"/>
  <c r="Q33"/>
  <c r="O31"/>
  <c r="O35"/>
  <c r="O38"/>
  <c r="P31"/>
  <c r="P33"/>
  <c r="L36"/>
  <c r="P29"/>
  <c r="Q31"/>
  <c r="M36"/>
  <c r="O30"/>
  <c r="L37"/>
  <c r="N38"/>
  <c r="N39"/>
  <c r="M37"/>
  <c r="P36"/>
  <c r="M34"/>
  <c r="L39"/>
  <c r="P35"/>
  <c r="Q30"/>
  <c r="M35"/>
  <c r="N37"/>
  <c r="O36"/>
  <c r="O29"/>
  <c r="O32"/>
  <c r="P38"/>
  <c r="Q39"/>
  <c r="M38"/>
  <c r="O28"/>
  <c r="P28"/>
  <c r="Q28"/>
  <c r="A2"/>
  <c r="L2"/>
  <c r="B2"/>
  <c r="M2"/>
  <c r="C2"/>
  <c r="N2"/>
  <c r="A3"/>
  <c r="L3"/>
  <c r="B3"/>
  <c r="M3"/>
  <c r="C3"/>
  <c r="N3"/>
  <c r="C1"/>
  <c r="W1"/>
  <c r="A1"/>
  <c r="B1"/>
  <c r="M1"/>
  <c r="M12"/>
  <c r="W12"/>
  <c r="W11"/>
  <c r="N14"/>
  <c r="N13"/>
  <c r="M16"/>
  <c r="M14"/>
  <c r="M13"/>
  <c r="N15"/>
  <c r="M15"/>
  <c r="N16"/>
  <c r="M11"/>
  <c r="V2"/>
  <c r="L1"/>
  <c r="N1"/>
  <c r="U1"/>
  <c r="V1"/>
  <c r="V3"/>
  <c r="W2"/>
  <c r="U2"/>
  <c r="W3"/>
  <c r="U3"/>
  <c r="U15"/>
  <c r="V13"/>
  <c r="N11"/>
  <c r="L15"/>
  <c r="L12"/>
  <c r="W16"/>
  <c r="L16"/>
  <c r="V15"/>
  <c r="U14"/>
  <c r="W15"/>
  <c r="L14"/>
  <c r="U11"/>
  <c r="V12"/>
  <c r="W14"/>
  <c r="V14"/>
  <c r="U13"/>
  <c r="V16"/>
  <c r="U16"/>
  <c r="L13"/>
  <c r="V11"/>
  <c r="N12"/>
  <c r="U12"/>
  <c r="W13"/>
  <c r="L11"/>
  <c r="M32"/>
  <c r="M29"/>
  <c r="L33"/>
  <c r="L32"/>
  <c r="M31"/>
  <c r="N29"/>
  <c r="N30"/>
  <c r="L31"/>
  <c r="L30"/>
  <c r="M30"/>
  <c r="M33"/>
  <c r="N31"/>
  <c r="L29"/>
  <c r="N33"/>
  <c r="N32"/>
  <c r="M28"/>
  <c r="N28"/>
  <c r="L28"/>
</calcChain>
</file>

<file path=xl/sharedStrings.xml><?xml version="1.0" encoding="utf-8"?>
<sst xmlns="http://schemas.openxmlformats.org/spreadsheetml/2006/main" count="336" uniqueCount="93">
  <si>
    <t>Команда</t>
  </si>
  <si>
    <t>победы</t>
  </si>
  <si>
    <t>место</t>
  </si>
  <si>
    <t>доп</t>
  </si>
  <si>
    <t>Тур 1</t>
  </si>
  <si>
    <t>Тур 2</t>
  </si>
  <si>
    <t>Тур 3</t>
  </si>
  <si>
    <t/>
  </si>
  <si>
    <t>Тур 4</t>
  </si>
  <si>
    <t>Тур 5</t>
  </si>
  <si>
    <t>ДВССЫЛ(АДРЕС(ПОИСКПОЗ(A5,СМЕЩ(ДВССЫЛ(АДРЕС(3,2,,,A4)),1,6+МАКС(СМЕЩ(ДВССЫЛ(АДРЕС(3,2,,,A4)),0,0,1,20)),2*МАКС(СМЕЩ(ДВССЫЛ(АДРЕС(3,2,,,A4)),0,0,1,20)),1),0)+3,3,,,A4))</t>
  </si>
  <si>
    <t>дор.</t>
  </si>
  <si>
    <t>Тур 6</t>
  </si>
  <si>
    <t>Тур 7</t>
  </si>
  <si>
    <t>1/1</t>
  </si>
  <si>
    <t>Капран-Индаяти Сергей</t>
  </si>
  <si>
    <t>Семченкова Марина</t>
  </si>
  <si>
    <t>Главный судья          ____________ С.В.Капран-Индаяти</t>
  </si>
  <si>
    <t>РФСОО "Всероссийская федерация боулспорта"</t>
  </si>
  <si>
    <t>Место</t>
  </si>
  <si>
    <t>ФИО</t>
  </si>
  <si>
    <t>Регион</t>
  </si>
  <si>
    <t>Очки Гран-При России по петанку</t>
  </si>
  <si>
    <t>Краснодарский край</t>
  </si>
  <si>
    <t>Ставропольский край</t>
  </si>
  <si>
    <t>Томская область</t>
  </si>
  <si>
    <t>Лукина, Лукин</t>
  </si>
  <si>
    <t>Потапова, Капран-Индаяти</t>
  </si>
  <si>
    <t>Семченкова, Анухин</t>
  </si>
  <si>
    <t>Румянцева, Гутников</t>
  </si>
  <si>
    <t>Кудряшова, Сендеров</t>
  </si>
  <si>
    <t>Меньшикова, Павлов</t>
  </si>
  <si>
    <t>Чемпионат ВФБ (петанк-двойка-смешанная), г.Сестрорецк, 15 июня 2025 года</t>
  </si>
  <si>
    <t>Главный секретарь  _____________ Л.С.Потапова</t>
  </si>
  <si>
    <t>-1</t>
  </si>
  <si>
    <t>+5</t>
  </si>
  <si>
    <t>-4</t>
  </si>
  <si>
    <t>Лукина Лариса</t>
  </si>
  <si>
    <t>Лукин Сергей</t>
  </si>
  <si>
    <t>Анухин Виктор</t>
  </si>
  <si>
    <t>Санкт-Петербург</t>
  </si>
  <si>
    <t>Потапова Людмила</t>
  </si>
  <si>
    <t>Мурманская область</t>
  </si>
  <si>
    <t>Меньшикова Жанна</t>
  </si>
  <si>
    <t>Павлов Николай</t>
  </si>
  <si>
    <t>Румянцева Наталья</t>
  </si>
  <si>
    <t>Гутников Денис</t>
  </si>
  <si>
    <t>Кудряшова Мила</t>
  </si>
  <si>
    <t>Сендеров Александр (ю)</t>
  </si>
  <si>
    <t>№</t>
  </si>
  <si>
    <t>дор.1</t>
  </si>
  <si>
    <t>дор.2</t>
  </si>
  <si>
    <t>дор.3</t>
  </si>
  <si>
    <t>дор.4</t>
  </si>
  <si>
    <t>дор.5</t>
  </si>
  <si>
    <t xml:space="preserve"> </t>
  </si>
  <si>
    <t>дор.6</t>
  </si>
  <si>
    <t>Тур 8</t>
  </si>
  <si>
    <t>Тур 9</t>
  </si>
  <si>
    <t>Кубок ВФБ (петанк, мужчины), г.Сестрорецк, 8 июня 2025 года.</t>
  </si>
  <si>
    <t>Калякин Максим</t>
  </si>
  <si>
    <t>Муругов Вадим</t>
  </si>
  <si>
    <t>Колобков Пётр</t>
  </si>
  <si>
    <t>Плетнёв Андрей</t>
  </si>
  <si>
    <t>Беркман Виталий</t>
  </si>
  <si>
    <t>Грищенко Сергей</t>
  </si>
  <si>
    <t>Кубок ВФБ группа А (петанк, женщины), г.Сестрорецк, 8 июня 2025 года.</t>
  </si>
  <si>
    <t>Кубок ВФБ группа В (петанк, женщины), г.Сестрорецк, 8 июня 2025 года.</t>
  </si>
  <si>
    <t>Косова Виктория</t>
  </si>
  <si>
    <t>Москаленко Наталья</t>
  </si>
  <si>
    <t>Косова Ксения</t>
  </si>
  <si>
    <t>Косова Виктория (ю)</t>
  </si>
  <si>
    <t>Захарова Екатерина</t>
  </si>
  <si>
    <t>Королькова Екатерина</t>
  </si>
  <si>
    <t>Рязанова Людмила</t>
  </si>
  <si>
    <t>Смирнова Анастасия</t>
  </si>
  <si>
    <t>Смирнова Алина (ю)</t>
  </si>
  <si>
    <t>Кубок ВФБ кубок А (петанк, женщины), г.Сестрорецк, 8 июня 2025 года.</t>
  </si>
  <si>
    <t xml:space="preserve">Семченкова </t>
  </si>
  <si>
    <t>Лукина</t>
  </si>
  <si>
    <t>Рязанова</t>
  </si>
  <si>
    <t>Румянцева</t>
  </si>
  <si>
    <t>Захарова</t>
  </si>
  <si>
    <t>Королькова</t>
  </si>
  <si>
    <t>Потапова</t>
  </si>
  <si>
    <t>Москаленко</t>
  </si>
  <si>
    <t>Кубок ВФБ кубок В (петанк, женщины), г.Сестрорецк, 8 июня 2025 года.</t>
  </si>
  <si>
    <t>Семченкова</t>
  </si>
  <si>
    <t>Кубок ВФБ кубок С (петанк, женщины), г.Сестрорецк, 8 июня 2025 года.</t>
  </si>
  <si>
    <t>Смиронова Алина</t>
  </si>
  <si>
    <t>ИТОГОВЫЙ ПРОТОКОЛ                                                                       Кубок ВФБ (петанк, мужчины),                          г.Сестрорецк, 8 июня 2025 года</t>
  </si>
  <si>
    <t>ИТОГОВЫЙ ПРОТОКОЛ                                                                       Кубок ВФБ (петанк, женщины),                                     г.Сестрорецк, 8 июня 2025 года</t>
  </si>
  <si>
    <t>ИТОГОВЫЙ ПРОТОКОЛ                                                                       Чемпионат ВФБ по боулспорту                                     (петанк-двойка-смешанная),                              г.Сестрорецк, 15 июня 2025 года</t>
  </si>
</sst>
</file>

<file path=xl/styles.xml><?xml version="1.0" encoding="utf-8"?>
<styleSheet xmlns="http://schemas.openxmlformats.org/spreadsheetml/2006/main">
  <numFmts count="2">
    <numFmt numFmtId="164" formatCode="\+##;\-##"/>
    <numFmt numFmtId="165" formatCode="\+##;\-##;0"/>
  </numFmts>
  <fonts count="20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6"/>
      <color indexed="8"/>
      <name val="Calibri"/>
      <family val="2"/>
      <charset val="204"/>
    </font>
    <font>
      <sz val="18"/>
      <color indexed="8"/>
      <name val="Calibri"/>
      <family val="2"/>
      <charset val="204"/>
    </font>
    <font>
      <b/>
      <sz val="16"/>
      <color indexed="8"/>
      <name val="Calibri"/>
      <family val="2"/>
      <charset val="204"/>
    </font>
    <font>
      <sz val="14"/>
      <color indexed="8"/>
      <name val="Calibri"/>
      <family val="2"/>
      <charset val="204"/>
    </font>
    <font>
      <b/>
      <sz val="14"/>
      <color indexed="8"/>
      <name val="Calibri"/>
      <family val="2"/>
      <charset val="204"/>
    </font>
    <font>
      <sz val="16"/>
      <color indexed="22"/>
      <name val="Calibri"/>
      <family val="2"/>
      <charset val="204"/>
    </font>
    <font>
      <b/>
      <sz val="16"/>
      <color indexed="8"/>
      <name val="Calibri"/>
      <family val="2"/>
      <charset val="204"/>
    </font>
    <font>
      <sz val="16"/>
      <color indexed="8"/>
      <name val="Calibri"/>
      <family val="2"/>
      <charset val="204"/>
    </font>
    <font>
      <b/>
      <sz val="20"/>
      <color indexed="8"/>
      <name val="Cambria"/>
      <family val="1"/>
      <charset val="204"/>
    </font>
    <font>
      <b/>
      <sz val="22"/>
      <color indexed="8"/>
      <name val="Cambria"/>
      <family val="1"/>
      <charset val="204"/>
    </font>
    <font>
      <b/>
      <sz val="11"/>
      <color indexed="8"/>
      <name val="Calibri"/>
      <family val="2"/>
      <charset val="204"/>
    </font>
    <font>
      <sz val="10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8"/>
      <name val="Calibri"/>
      <family val="2"/>
      <charset val="204"/>
    </font>
    <font>
      <sz val="12"/>
      <color indexed="8"/>
      <name val="Calibri"/>
      <family val="2"/>
      <charset val="204"/>
    </font>
    <font>
      <b/>
      <sz val="16"/>
      <color indexed="8"/>
      <name val="Cambria"/>
      <family val="1"/>
      <charset val="204"/>
    </font>
    <font>
      <b/>
      <sz val="24"/>
      <color indexed="8"/>
      <name val="Cambria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55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0" fillId="3" borderId="0" xfId="0" applyFill="1"/>
    <xf numFmtId="0" fontId="3" fillId="2" borderId="7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164" fontId="3" fillId="2" borderId="9" xfId="0" applyNumberFormat="1" applyFont="1" applyFill="1" applyBorder="1" applyAlignment="1">
      <alignment horizontal="center" vertical="center"/>
    </xf>
    <xf numFmtId="164" fontId="3" fillId="2" borderId="6" xfId="0" applyNumberFormat="1" applyFont="1" applyFill="1" applyBorder="1" applyAlignment="1">
      <alignment horizontal="center" vertical="center"/>
    </xf>
    <xf numFmtId="164" fontId="3" fillId="2" borderId="10" xfId="0" applyNumberFormat="1" applyFont="1" applyFill="1" applyBorder="1" applyAlignment="1">
      <alignment horizontal="center" vertical="center"/>
    </xf>
    <xf numFmtId="165" fontId="3" fillId="0" borderId="6" xfId="0" applyNumberFormat="1" applyFont="1" applyBorder="1" applyAlignment="1">
      <alignment horizontal="center" vertical="center"/>
    </xf>
    <xf numFmtId="165" fontId="3" fillId="0" borderId="8" xfId="0" applyNumberFormat="1" applyFont="1" applyBorder="1" applyAlignment="1">
      <alignment horizontal="center" vertical="center"/>
    </xf>
    <xf numFmtId="165" fontId="3" fillId="0" borderId="11" xfId="0" applyNumberFormat="1" applyFont="1" applyBorder="1" applyAlignment="1">
      <alignment horizontal="center" vertical="center"/>
    </xf>
    <xf numFmtId="165" fontId="3" fillId="0" borderId="12" xfId="0" applyNumberFormat="1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165" fontId="3" fillId="0" borderId="9" xfId="0" applyNumberFormat="1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16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horizontal="right" indent="1"/>
    </xf>
    <xf numFmtId="0" fontId="0" fillId="0" borderId="0" xfId="0" applyAlignment="1">
      <alignment horizontal="left" vertical="center"/>
    </xf>
    <xf numFmtId="0" fontId="0" fillId="0" borderId="0" xfId="0" applyAlignment="1"/>
    <xf numFmtId="0" fontId="0" fillId="0" borderId="0" xfId="0" applyAlignment="1">
      <alignment horizontal="left"/>
    </xf>
    <xf numFmtId="165" fontId="3" fillId="0" borderId="20" xfId="0" applyNumberFormat="1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/>
    <xf numFmtId="0" fontId="3" fillId="0" borderId="21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0" xfId="0" applyFont="1" applyAlignment="1">
      <alignment horizontal="right" indent="1"/>
    </xf>
    <xf numFmtId="0" fontId="8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49" fontId="3" fillId="0" borderId="6" xfId="0" applyNumberFormat="1" applyFont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/>
    </xf>
    <xf numFmtId="0" fontId="9" fillId="0" borderId="0" xfId="0" applyFont="1"/>
    <xf numFmtId="0" fontId="10" fillId="0" borderId="0" xfId="0" applyFont="1"/>
    <xf numFmtId="0" fontId="11" fillId="0" borderId="0" xfId="0" applyFont="1" applyAlignment="1"/>
    <xf numFmtId="0" fontId="11" fillId="0" borderId="0" xfId="0" applyFont="1" applyAlignment="1">
      <alignment vertical="center" wrapText="1"/>
    </xf>
    <xf numFmtId="0" fontId="12" fillId="0" borderId="0" xfId="0" applyFont="1" applyAlignment="1">
      <alignment vertical="center"/>
    </xf>
    <xf numFmtId="0" fontId="13" fillId="0" borderId="7" xfId="0" applyFont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13" fillId="0" borderId="22" xfId="0" applyFont="1" applyBorder="1" applyAlignment="1">
      <alignment horizontal="center"/>
    </xf>
    <xf numFmtId="0" fontId="13" fillId="0" borderId="23" xfId="0" applyFont="1" applyBorder="1" applyAlignment="1">
      <alignment horizontal="center"/>
    </xf>
    <xf numFmtId="0" fontId="13" fillId="0" borderId="9" xfId="0" applyFont="1" applyBorder="1" applyAlignment="1">
      <alignment horizontal="center"/>
    </xf>
    <xf numFmtId="0" fontId="0" fillId="0" borderId="6" xfId="0" applyBorder="1"/>
    <xf numFmtId="0" fontId="0" fillId="0" borderId="20" xfId="0" applyBorder="1"/>
    <xf numFmtId="0" fontId="0" fillId="0" borderId="24" xfId="0" applyBorder="1" applyAlignment="1">
      <alignment horizontal="center"/>
    </xf>
    <xf numFmtId="0" fontId="13" fillId="0" borderId="12" xfId="0" applyFont="1" applyBorder="1" applyAlignment="1">
      <alignment horizontal="center"/>
    </xf>
    <xf numFmtId="0" fontId="0" fillId="0" borderId="11" xfId="0" applyBorder="1"/>
    <xf numFmtId="0" fontId="0" fillId="0" borderId="25" xfId="0" applyBorder="1"/>
    <xf numFmtId="0" fontId="0" fillId="0" borderId="26" xfId="0" applyBorder="1" applyAlignment="1">
      <alignment horizontal="center"/>
    </xf>
    <xf numFmtId="0" fontId="15" fillId="0" borderId="6" xfId="0" applyFont="1" applyBorder="1"/>
    <xf numFmtId="0" fontId="0" fillId="0" borderId="0" xfId="0" applyBorder="1"/>
    <xf numFmtId="0" fontId="14" fillId="0" borderId="0" xfId="0" applyFont="1" applyBorder="1"/>
    <xf numFmtId="0" fontId="0" fillId="0" borderId="8" xfId="0" applyBorder="1"/>
    <xf numFmtId="0" fontId="9" fillId="0" borderId="0" xfId="0" applyFont="1" applyBorder="1"/>
    <xf numFmtId="0" fontId="13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0" xfId="0" applyBorder="1"/>
    <xf numFmtId="49" fontId="3" fillId="0" borderId="11" xfId="0" applyNumberFormat="1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/>
    </xf>
    <xf numFmtId="49" fontId="3" fillId="0" borderId="16" xfId="0" applyNumberFormat="1" applyFont="1" applyBorder="1" applyAlignment="1">
      <alignment horizontal="center" vertical="center"/>
    </xf>
    <xf numFmtId="49" fontId="3" fillId="0" borderId="31" xfId="0" applyNumberFormat="1" applyFont="1" applyBorder="1" applyAlignment="1">
      <alignment horizontal="center" vertical="center"/>
    </xf>
    <xf numFmtId="164" fontId="3" fillId="2" borderId="25" xfId="0" applyNumberFormat="1" applyFont="1" applyFill="1" applyBorder="1" applyAlignment="1">
      <alignment horizontal="center" vertical="center"/>
    </xf>
    <xf numFmtId="49" fontId="3" fillId="0" borderId="32" xfId="0" applyNumberFormat="1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1" fillId="0" borderId="6" xfId="0" applyFont="1" applyBorder="1"/>
    <xf numFmtId="165" fontId="3" fillId="0" borderId="5" xfId="0" applyNumberFormat="1" applyFont="1" applyBorder="1" applyAlignment="1">
      <alignment horizontal="center" vertical="center"/>
    </xf>
    <xf numFmtId="0" fontId="18" fillId="0" borderId="0" xfId="0" applyFont="1" applyAlignment="1">
      <alignment vertical="center" wrapText="1"/>
    </xf>
    <xf numFmtId="0" fontId="6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5" fillId="0" borderId="0" xfId="0" applyFont="1"/>
    <xf numFmtId="0" fontId="2" fillId="0" borderId="13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6" xfId="0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48" xfId="0" applyFont="1" applyFill="1" applyBorder="1" applyAlignment="1">
      <alignment horizontal="left" vertical="center" wrapText="1" indent="1"/>
    </xf>
    <xf numFmtId="0" fontId="4" fillId="0" borderId="6" xfId="0" applyFont="1" applyFill="1" applyBorder="1" applyAlignment="1">
      <alignment horizontal="left" vertical="center" wrapText="1" indent="1"/>
    </xf>
    <xf numFmtId="0" fontId="4" fillId="0" borderId="23" xfId="0" applyFont="1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50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4" fillId="0" borderId="19" xfId="0" applyFont="1" applyFill="1" applyBorder="1" applyAlignment="1">
      <alignment horizontal="left" vertical="center" wrapText="1" indent="1"/>
    </xf>
    <xf numFmtId="0" fontId="4" fillId="0" borderId="30" xfId="0" applyFont="1" applyFill="1" applyBorder="1" applyAlignment="1">
      <alignment horizontal="left" vertical="center" wrapText="1" indent="1"/>
    </xf>
    <xf numFmtId="0" fontId="4" fillId="0" borderId="47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4" fillId="0" borderId="49" xfId="0" applyFont="1" applyFill="1" applyBorder="1" applyAlignment="1">
      <alignment horizontal="left" vertical="center" wrapText="1" indent="1"/>
    </xf>
    <xf numFmtId="0" fontId="4" fillId="0" borderId="11" xfId="0" applyFont="1" applyFill="1" applyBorder="1" applyAlignment="1">
      <alignment horizontal="left" vertical="center" wrapText="1" indent="1"/>
    </xf>
    <xf numFmtId="0" fontId="11" fillId="0" borderId="0" xfId="0" applyFont="1" applyAlignment="1">
      <alignment horizontal="center" wrapText="1"/>
    </xf>
    <xf numFmtId="0" fontId="11" fillId="0" borderId="0" xfId="0" applyFont="1" applyAlignment="1">
      <alignment horizontal="center" vertical="center" wrapText="1"/>
    </xf>
    <xf numFmtId="0" fontId="3" fillId="0" borderId="16" xfId="0" applyFont="1" applyBorder="1" applyAlignment="1">
      <alignment horizontal="center"/>
    </xf>
    <xf numFmtId="0" fontId="3" fillId="0" borderId="37" xfId="0" applyFont="1" applyBorder="1" applyAlignment="1">
      <alignment horizontal="center"/>
    </xf>
    <xf numFmtId="0" fontId="3" fillId="0" borderId="38" xfId="0" applyFont="1" applyBorder="1" applyAlignment="1">
      <alignment horizontal="center"/>
    </xf>
    <xf numFmtId="0" fontId="4" fillId="0" borderId="43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4" fillId="0" borderId="20" xfId="0" applyFont="1" applyFill="1" applyBorder="1" applyAlignment="1">
      <alignment horizontal="left" vertical="center" wrapText="1" indent="1"/>
    </xf>
    <xf numFmtId="0" fontId="4" fillId="0" borderId="31" xfId="0" applyFont="1" applyFill="1" applyBorder="1" applyAlignment="1">
      <alignment horizontal="left" vertical="center" wrapText="1" indent="1"/>
    </xf>
    <xf numFmtId="0" fontId="4" fillId="0" borderId="42" xfId="0" applyFont="1" applyFill="1" applyBorder="1" applyAlignment="1">
      <alignment horizontal="left" vertical="center" wrapText="1" indent="1"/>
    </xf>
    <xf numFmtId="0" fontId="4" fillId="0" borderId="25" xfId="0" applyFont="1" applyFill="1" applyBorder="1" applyAlignment="1">
      <alignment horizontal="left" vertical="center" wrapText="1" indent="1"/>
    </xf>
    <xf numFmtId="0" fontId="4" fillId="0" borderId="32" xfId="0" applyFont="1" applyFill="1" applyBorder="1" applyAlignment="1">
      <alignment horizontal="left" vertical="center" wrapText="1" indent="1"/>
    </xf>
    <xf numFmtId="0" fontId="4" fillId="0" borderId="52" xfId="0" applyFont="1" applyFill="1" applyBorder="1" applyAlignment="1">
      <alignment horizontal="left" vertical="center" wrapText="1" indent="1"/>
    </xf>
    <xf numFmtId="0" fontId="4" fillId="0" borderId="31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53" xfId="0" applyFont="1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0" fontId="2" fillId="0" borderId="28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4" fillId="0" borderId="22" xfId="0" applyFont="1" applyFill="1" applyBorder="1" applyAlignment="1">
      <alignment horizontal="left" vertical="center" wrapText="1" indent="1"/>
    </xf>
    <xf numFmtId="0" fontId="4" fillId="0" borderId="34" xfId="0" applyFont="1" applyFill="1" applyBorder="1" applyAlignment="1">
      <alignment horizontal="left" vertical="center" wrapText="1" indent="1"/>
    </xf>
    <xf numFmtId="0" fontId="4" fillId="0" borderId="35" xfId="0" applyFont="1" applyFill="1" applyBorder="1" applyAlignment="1">
      <alignment horizontal="left" vertical="center" wrapText="1" indent="1"/>
    </xf>
    <xf numFmtId="0" fontId="4" fillId="0" borderId="34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7" fillId="0" borderId="54" xfId="0" applyFont="1" applyBorder="1" applyAlignment="1">
      <alignment horizontal="center" vertical="center" shrinkToFit="1"/>
    </xf>
    <xf numFmtId="0" fontId="7" fillId="0" borderId="19" xfId="0" applyFont="1" applyBorder="1" applyAlignment="1">
      <alignment horizontal="center" vertical="center" shrinkToFit="1"/>
    </xf>
    <xf numFmtId="0" fontId="7" fillId="0" borderId="16" xfId="0" applyFont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17" fillId="0" borderId="38" xfId="0" applyFont="1" applyBorder="1" applyAlignment="1">
      <alignment horizontal="center"/>
    </xf>
    <xf numFmtId="0" fontId="17" fillId="0" borderId="16" xfId="0" applyFont="1" applyBorder="1" applyAlignment="1">
      <alignment horizontal="center"/>
    </xf>
    <xf numFmtId="0" fontId="17" fillId="0" borderId="37" xfId="0" applyFont="1" applyBorder="1" applyAlignment="1">
      <alignment horizontal="center"/>
    </xf>
    <xf numFmtId="0" fontId="18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93"/>
  <sheetViews>
    <sheetView tabSelected="1" zoomScale="70" workbookViewId="0">
      <selection activeCell="R34" sqref="R34"/>
    </sheetView>
  </sheetViews>
  <sheetFormatPr defaultRowHeight="15"/>
  <cols>
    <col min="1" max="1" width="4" style="39" customWidth="1"/>
    <col min="2" max="12" width="10.28515625" customWidth="1"/>
    <col min="13" max="14" width="10.28515625" style="33" customWidth="1"/>
    <col min="15" max="15" width="0.140625" style="33" customWidth="1"/>
    <col min="16" max="17" width="10.28515625" customWidth="1"/>
  </cols>
  <sheetData>
    <row r="1" spans="1:18" ht="69" customHeight="1">
      <c r="A1"/>
      <c r="B1" s="112" t="s">
        <v>59</v>
      </c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</row>
    <row r="2" spans="1:18" ht="15.75" thickBot="1">
      <c r="A2"/>
      <c r="M2"/>
      <c r="N2"/>
      <c r="O2"/>
    </row>
    <row r="3" spans="1:18" ht="30" customHeight="1" thickBot="1">
      <c r="A3"/>
      <c r="B3" s="76" t="s">
        <v>49</v>
      </c>
      <c r="C3" s="116" t="s">
        <v>0</v>
      </c>
      <c r="D3" s="116"/>
      <c r="E3" s="117"/>
      <c r="F3" s="77">
        <v>1</v>
      </c>
      <c r="G3" s="77">
        <v>2</v>
      </c>
      <c r="H3" s="77">
        <v>3</v>
      </c>
      <c r="I3" s="78">
        <v>4</v>
      </c>
      <c r="J3" s="78">
        <v>5</v>
      </c>
      <c r="K3" s="78">
        <v>6</v>
      </c>
      <c r="L3" s="78">
        <v>7</v>
      </c>
      <c r="M3" s="4">
        <v>8</v>
      </c>
      <c r="N3" s="79">
        <v>9</v>
      </c>
      <c r="O3" s="79">
        <v>10</v>
      </c>
      <c r="P3" s="76" t="s">
        <v>1</v>
      </c>
      <c r="Q3" s="79" t="s">
        <v>3</v>
      </c>
      <c r="R3" s="76" t="s">
        <v>2</v>
      </c>
    </row>
    <row r="4" spans="1:18" ht="24" customHeight="1">
      <c r="A4"/>
      <c r="B4" s="109">
        <v>1</v>
      </c>
      <c r="C4" s="113" t="s">
        <v>15</v>
      </c>
      <c r="D4" s="114"/>
      <c r="E4" s="114"/>
      <c r="F4" s="80"/>
      <c r="G4" s="7" t="str">
        <f ca="1">INDIRECT(ADDRESS(38,6))&amp;":"&amp;INDIRECT(ADDRESS(38,7))</f>
        <v>13:4</v>
      </c>
      <c r="H4" s="7" t="str">
        <f ca="1">INDIRECT(ADDRESS(42,7))&amp;":"&amp;INDIRECT(ADDRESS(42,6))</f>
        <v>13:12</v>
      </c>
      <c r="I4" s="7" t="str">
        <f ca="1">INDIRECT(ADDRESS(51,6))&amp;":"&amp;INDIRECT(ADDRESS(51,7))</f>
        <v>3:13</v>
      </c>
      <c r="J4" s="7" t="str">
        <f ca="1">INDIRECT(ADDRESS(57,7))&amp;":"&amp;INDIRECT(ADDRESS(57,6))</f>
        <v>5:13</v>
      </c>
      <c r="K4" s="7" t="str">
        <f ca="1">INDIRECT(ADDRESS(64,6))&amp;":"&amp;INDIRECT(ADDRESS(64,7))</f>
        <v>13:5</v>
      </c>
      <c r="L4" s="7" t="str">
        <f ca="1">INDIRECT(ADDRESS(72,7))&amp;":"&amp;INDIRECT(ADDRESS(72,6))</f>
        <v>13:1</v>
      </c>
      <c r="M4" s="7" t="str">
        <f ca="1">INDIRECT(ADDRESS(77,6))&amp;":"&amp;INDIRECT(ADDRESS(77,7))</f>
        <v>13:3</v>
      </c>
      <c r="N4" s="7" t="str">
        <f ca="1">INDIRECT(ADDRESS(87,7))&amp;":"&amp;INDIRECT(ADDRESS(87,6))</f>
        <v>13:7</v>
      </c>
      <c r="O4" s="36" t="str">
        <f ca="1">INDIRECT(ADDRESS(27,6))&amp;":"&amp;INDIRECT(ADDRESS(27,7))</f>
        <v>:</v>
      </c>
      <c r="P4" s="105">
        <f ca="1">IF(COUNT(F5:O5)=0,"",COUNTIF(F5:O5,"&gt;0")+0.5*COUNTIF(F5:O5,0))</f>
        <v>6</v>
      </c>
      <c r="Q4" s="81"/>
      <c r="R4" s="115">
        <v>3</v>
      </c>
    </row>
    <row r="5" spans="1:18" ht="24" customHeight="1">
      <c r="A5"/>
      <c r="B5" s="107"/>
      <c r="C5" s="103"/>
      <c r="D5" s="104"/>
      <c r="E5" s="104"/>
      <c r="F5" s="15"/>
      <c r="G5" s="17">
        <f ca="1">IF(LEN(INDIRECT(ADDRESS(ROW()-1, COLUMN())))=1,"",INDIRECT(ADDRESS(38,6))-INDIRECT(ADDRESS(38,7)))</f>
        <v>9</v>
      </c>
      <c r="H5" s="17">
        <f ca="1">IF(LEN(INDIRECT(ADDRESS(ROW()-1, COLUMN())))=1,"",INDIRECT(ADDRESS(42,7))-INDIRECT(ADDRESS(42,6)))</f>
        <v>1</v>
      </c>
      <c r="I5" s="17">
        <f ca="1">IF(LEN(INDIRECT(ADDRESS(ROW()-1, COLUMN())))=1,"",INDIRECT(ADDRESS(51,6))-INDIRECT(ADDRESS(51,7)))</f>
        <v>-10</v>
      </c>
      <c r="J5" s="17">
        <f ca="1">IF(LEN(INDIRECT(ADDRESS(ROW()-1, COLUMN())))=1,"",INDIRECT(ADDRESS(57,7))-INDIRECT(ADDRESS(57,6)))</f>
        <v>-8</v>
      </c>
      <c r="K5" s="17">
        <f ca="1">IF(LEN(INDIRECT(ADDRESS(ROW()-1, COLUMN())))=1,"",INDIRECT(ADDRESS(64,6))-INDIRECT(ADDRESS(64,7)))</f>
        <v>8</v>
      </c>
      <c r="L5" s="17">
        <f ca="1">IF(LEN(INDIRECT(ADDRESS(ROW()-1, COLUMN())))=1,"",INDIRECT(ADDRESS(72,7))-INDIRECT(ADDRESS(72,6)))</f>
        <v>12</v>
      </c>
      <c r="M5" s="17">
        <f ca="1">IF(LEN(INDIRECT(ADDRESS(ROW()-1, COLUMN())))=1,"",INDIRECT(ADDRESS(77,6))-INDIRECT(ADDRESS(77,7)))</f>
        <v>10</v>
      </c>
      <c r="N5" s="17">
        <f ca="1">IF(LEN(INDIRECT(ADDRESS(ROW()-1, COLUMN())))=1,"",INDIRECT(ADDRESS(87,7))-INDIRECT(ADDRESS(87,6)))</f>
        <v>6</v>
      </c>
      <c r="O5" s="35" t="str">
        <f ca="1">IF(LEN(INDIRECT(ADDRESS(ROW()-1, COLUMN())))=1,"",INDIRECT(ADDRESS(27,6))-INDIRECT(ADDRESS(27,7)))</f>
        <v/>
      </c>
      <c r="P5" s="101"/>
      <c r="Q5" s="82"/>
      <c r="R5" s="101"/>
    </row>
    <row r="6" spans="1:18" ht="24" customHeight="1">
      <c r="A6"/>
      <c r="B6" s="106">
        <v>2</v>
      </c>
      <c r="C6" s="103" t="s">
        <v>46</v>
      </c>
      <c r="D6" s="104"/>
      <c r="E6" s="104"/>
      <c r="F6" s="7" t="str">
        <f ca="1">INDIRECT(ADDRESS(38,7))&amp;":"&amp;INDIRECT(ADDRESS(38,6))</f>
        <v>4:13</v>
      </c>
      <c r="G6" s="8"/>
      <c r="H6" s="7" t="str">
        <f ca="1">INDIRECT(ADDRESS(52,6))&amp;":"&amp;INDIRECT(ADDRESS(52,7))</f>
        <v>7:13</v>
      </c>
      <c r="I6" s="7" t="str">
        <f ca="1">INDIRECT(ADDRESS(56,7))&amp;":"&amp;INDIRECT(ADDRESS(56,6))</f>
        <v>1:13</v>
      </c>
      <c r="J6" s="7" t="str">
        <f ca="1">INDIRECT(ADDRESS(65,6))&amp;":"&amp;INDIRECT(ADDRESS(65,7))</f>
        <v>13:11</v>
      </c>
      <c r="K6" s="7" t="str">
        <f ca="1">INDIRECT(ADDRESS(71,7))&amp;":"&amp;INDIRECT(ADDRESS(71,6))</f>
        <v>13:4</v>
      </c>
      <c r="L6" s="7" t="str">
        <f ca="1">INDIRECT(ADDRESS(78,6))&amp;":"&amp;INDIRECT(ADDRESS(78,7))</f>
        <v>12:13</v>
      </c>
      <c r="M6" s="7" t="str">
        <f ca="1">INDIRECT(ADDRESS(86,7))&amp;":"&amp;INDIRECT(ADDRESS(86,6))</f>
        <v>13:7</v>
      </c>
      <c r="N6" s="7" t="str">
        <f ca="1">INDIRECT(ADDRESS(28,6))&amp;":"&amp;INDIRECT(ADDRESS(28,7))</f>
        <v>3:13</v>
      </c>
      <c r="O6" s="36" t="str">
        <f ca="1">INDIRECT(ADDRESS(41,6))&amp;":"&amp;INDIRECT(ADDRESS(41,7))</f>
        <v>:</v>
      </c>
      <c r="P6" s="101">
        <f ca="1">IF(COUNT(F7:O7)=0,"",COUNTIF(F7:O7,"&gt;0")+0.5*COUNTIF(F7:O7,0))</f>
        <v>3</v>
      </c>
      <c r="Q6" s="82"/>
      <c r="R6" s="101">
        <v>6</v>
      </c>
    </row>
    <row r="7" spans="1:18" ht="24" customHeight="1">
      <c r="A7"/>
      <c r="B7" s="107"/>
      <c r="C7" s="103"/>
      <c r="D7" s="104"/>
      <c r="E7" s="104"/>
      <c r="F7" s="17">
        <f ca="1">IF(LEN(INDIRECT(ADDRESS(ROW()-1, COLUMN())))=1,"",INDIRECT(ADDRESS(38,7))-INDIRECT(ADDRESS(38,6)))</f>
        <v>-9</v>
      </c>
      <c r="G7" s="15"/>
      <c r="H7" s="17">
        <f ca="1">IF(LEN(INDIRECT(ADDRESS(ROW()-1, COLUMN())))=1,"",INDIRECT(ADDRESS(52,6))-INDIRECT(ADDRESS(52,7)))</f>
        <v>-6</v>
      </c>
      <c r="I7" s="17">
        <f ca="1">IF(LEN(INDIRECT(ADDRESS(ROW()-1, COLUMN())))=1,"",INDIRECT(ADDRESS(56,7))-INDIRECT(ADDRESS(56,6)))</f>
        <v>-12</v>
      </c>
      <c r="J7" s="17">
        <f ca="1">IF(LEN(INDIRECT(ADDRESS(ROW()-1, COLUMN())))=1,"",INDIRECT(ADDRESS(65,6))-INDIRECT(ADDRESS(65,7)))</f>
        <v>2</v>
      </c>
      <c r="K7" s="17">
        <f ca="1">IF(LEN(INDIRECT(ADDRESS(ROW()-1, COLUMN())))=1,"",INDIRECT(ADDRESS(71,7))-INDIRECT(ADDRESS(71,6)))</f>
        <v>9</v>
      </c>
      <c r="L7" s="17">
        <f ca="1">IF(LEN(INDIRECT(ADDRESS(ROW()-1, COLUMN())))=1,"",INDIRECT(ADDRESS(78,6))-INDIRECT(ADDRESS(78,7)))</f>
        <v>-1</v>
      </c>
      <c r="M7" s="17">
        <f ca="1">IF(LEN(INDIRECT(ADDRESS(ROW()-1, COLUMN())))=1,"",INDIRECT(ADDRESS(86,7))-INDIRECT(ADDRESS(86,6)))</f>
        <v>6</v>
      </c>
      <c r="N7" s="17">
        <f ca="1">IF(LEN(INDIRECT(ADDRESS(ROW()-1, COLUMN())))=1,"",INDIRECT(ADDRESS(28,6))-INDIRECT(ADDRESS(28,7)))</f>
        <v>-10</v>
      </c>
      <c r="O7" s="35" t="str">
        <f ca="1">IF(LEN(INDIRECT(ADDRESS(ROW()-1, COLUMN())))=1,"",INDIRECT(ADDRESS(41,6))-INDIRECT(ADDRESS(41,7)))</f>
        <v/>
      </c>
      <c r="P7" s="101"/>
      <c r="Q7" s="82"/>
      <c r="R7" s="101"/>
    </row>
    <row r="8" spans="1:18" ht="24" customHeight="1">
      <c r="A8"/>
      <c r="B8" s="106">
        <v>3</v>
      </c>
      <c r="C8" s="103" t="s">
        <v>60</v>
      </c>
      <c r="D8" s="104"/>
      <c r="E8" s="104"/>
      <c r="F8" s="7" t="str">
        <f ca="1">INDIRECT(ADDRESS(42,6))&amp;":"&amp;INDIRECT(ADDRESS(42,7))</f>
        <v>12:13</v>
      </c>
      <c r="G8" s="7" t="str">
        <f ca="1">INDIRECT(ADDRESS(52,7))&amp;":"&amp;INDIRECT(ADDRESS(52,6))</f>
        <v>13:7</v>
      </c>
      <c r="H8" s="8"/>
      <c r="I8" s="7" t="str">
        <f ca="1">INDIRECT(ADDRESS(66,6))&amp;":"&amp;INDIRECT(ADDRESS(66,7))</f>
        <v>13:7</v>
      </c>
      <c r="J8" s="7" t="str">
        <f ca="1">INDIRECT(ADDRESS(70,7))&amp;":"&amp;INDIRECT(ADDRESS(70,6))</f>
        <v>13:10</v>
      </c>
      <c r="K8" s="7" t="str">
        <f ca="1">INDIRECT(ADDRESS(79,6))&amp;":"&amp;INDIRECT(ADDRESS(79,7))</f>
        <v>13:2</v>
      </c>
      <c r="L8" s="7" t="str">
        <f ca="1">INDIRECT(ADDRESS(85,7))&amp;":"&amp;INDIRECT(ADDRESS(85,6))</f>
        <v>13:2</v>
      </c>
      <c r="M8" s="7" t="str">
        <f ca="1">INDIRECT(ADDRESS(29,6))&amp;":"&amp;INDIRECT(ADDRESS(29,7))</f>
        <v>13:6</v>
      </c>
      <c r="N8" s="7" t="str">
        <f ca="1">INDIRECT(ADDRESS(37,7))&amp;":"&amp;INDIRECT(ADDRESS(37,6))</f>
        <v>13:6</v>
      </c>
      <c r="O8" s="36" t="str">
        <f ca="1">INDIRECT(ADDRESS(55,6))&amp;":"&amp;INDIRECT(ADDRESS(55,7))</f>
        <v>:</v>
      </c>
      <c r="P8" s="101">
        <f ca="1">IF(COUNT(F9:O9)=0,"",COUNTIF(F9:O9,"&gt;0")+0.5*COUNTIF(F9:O9,0))</f>
        <v>7</v>
      </c>
      <c r="Q8" s="82"/>
      <c r="R8" s="101">
        <v>1</v>
      </c>
    </row>
    <row r="9" spans="1:18" ht="24" customHeight="1">
      <c r="A9"/>
      <c r="B9" s="107"/>
      <c r="C9" s="103"/>
      <c r="D9" s="104"/>
      <c r="E9" s="104"/>
      <c r="F9" s="17">
        <f ca="1">IF(LEN(INDIRECT(ADDRESS(ROW()-1, COLUMN())))=1,"",INDIRECT(ADDRESS(42,6))-INDIRECT(ADDRESS(42,7)))</f>
        <v>-1</v>
      </c>
      <c r="G9" s="17">
        <f ca="1">IF(LEN(INDIRECT(ADDRESS(ROW()-1, COLUMN())))=1,"",INDIRECT(ADDRESS(52,7))-INDIRECT(ADDRESS(52,6)))</f>
        <v>6</v>
      </c>
      <c r="H9" s="15"/>
      <c r="I9" s="17">
        <f ca="1">IF(LEN(INDIRECT(ADDRESS(ROW()-1, COLUMN())))=1,"",INDIRECT(ADDRESS(66,6))-INDIRECT(ADDRESS(66,7)))</f>
        <v>6</v>
      </c>
      <c r="J9" s="17">
        <f ca="1">IF(LEN(INDIRECT(ADDRESS(ROW()-1, COLUMN())))=1,"",INDIRECT(ADDRESS(70,7))-INDIRECT(ADDRESS(70,6)))</f>
        <v>3</v>
      </c>
      <c r="K9" s="17">
        <f ca="1">IF(LEN(INDIRECT(ADDRESS(ROW()-1, COLUMN())))=1,"",INDIRECT(ADDRESS(79,6))-INDIRECT(ADDRESS(79,7)))</f>
        <v>11</v>
      </c>
      <c r="L9" s="17">
        <f ca="1">IF(LEN(INDIRECT(ADDRESS(ROW()-1, COLUMN())))=1,"",INDIRECT(ADDRESS(85,7))-INDIRECT(ADDRESS(85,6)))</f>
        <v>11</v>
      </c>
      <c r="M9" s="17">
        <f ca="1">IF(LEN(INDIRECT(ADDRESS(ROW()-1, COLUMN())))=1,"",INDIRECT(ADDRESS(29,6))-INDIRECT(ADDRESS(29,7)))</f>
        <v>7</v>
      </c>
      <c r="N9" s="17">
        <f ca="1">IF(LEN(INDIRECT(ADDRESS(ROW()-1, COLUMN())))=1,"",INDIRECT(ADDRESS(37,7))-INDIRECT(ADDRESS(37,6)))</f>
        <v>7</v>
      </c>
      <c r="O9" s="35" t="str">
        <f ca="1">IF(LEN(INDIRECT(ADDRESS(ROW()-1, COLUMN())))=1,"",INDIRECT(ADDRESS(55,6))-INDIRECT(ADDRESS(55,7)))</f>
        <v/>
      </c>
      <c r="P9" s="101"/>
      <c r="Q9" s="82"/>
      <c r="R9" s="101"/>
    </row>
    <row r="10" spans="1:18" ht="24" customHeight="1">
      <c r="A10"/>
      <c r="B10" s="106">
        <v>4</v>
      </c>
      <c r="C10" s="103" t="s">
        <v>38</v>
      </c>
      <c r="D10" s="104"/>
      <c r="E10" s="104"/>
      <c r="F10" s="7" t="str">
        <f ca="1">INDIRECT(ADDRESS(51,7))&amp;":"&amp;INDIRECT(ADDRESS(51,6))</f>
        <v>13:3</v>
      </c>
      <c r="G10" s="7" t="str">
        <f ca="1">INDIRECT(ADDRESS(56,6))&amp;":"&amp;INDIRECT(ADDRESS(56,7))</f>
        <v>13:1</v>
      </c>
      <c r="H10" s="7" t="str">
        <f ca="1">INDIRECT(ADDRESS(66,7))&amp;":"&amp;INDIRECT(ADDRESS(66,6))</f>
        <v>7:13</v>
      </c>
      <c r="I10" s="8"/>
      <c r="J10" s="7" t="str">
        <f ca="1">INDIRECT(ADDRESS(80,6))&amp;":"&amp;INDIRECT(ADDRESS(80,7))</f>
        <v>5:13</v>
      </c>
      <c r="K10" s="7" t="str">
        <f ca="1">INDIRECT(ADDRESS(84,7))&amp;":"&amp;INDIRECT(ADDRESS(84,6))</f>
        <v>13:1</v>
      </c>
      <c r="L10" s="7" t="str">
        <f ca="1">INDIRECT(ADDRESS(30,6))&amp;":"&amp;INDIRECT(ADDRESS(30,7))</f>
        <v>13:2</v>
      </c>
      <c r="M10" s="7" t="str">
        <f ca="1">INDIRECT(ADDRESS(36,7))&amp;":"&amp;INDIRECT(ADDRESS(36,6))</f>
        <v>13:4</v>
      </c>
      <c r="N10" s="7" t="str">
        <f ca="1">INDIRECT(ADDRESS(43,6))&amp;":"&amp;INDIRECT(ADDRESS(43,7))</f>
        <v>13:9</v>
      </c>
      <c r="O10" s="36" t="str">
        <f ca="1">INDIRECT(ADDRESS(69,6))&amp;":"&amp;INDIRECT(ADDRESS(69,7))</f>
        <v>:</v>
      </c>
      <c r="P10" s="101">
        <f ca="1">IF(COUNT(F11:O11)=0,"",COUNTIF(F11:O11,"&gt;0")+0.5*COUNTIF(F11:O11,0))</f>
        <v>6</v>
      </c>
      <c r="Q10" s="82"/>
      <c r="R10" s="101">
        <v>2</v>
      </c>
    </row>
    <row r="11" spans="1:18" ht="24" customHeight="1">
      <c r="A11"/>
      <c r="B11" s="107"/>
      <c r="C11" s="103"/>
      <c r="D11" s="104"/>
      <c r="E11" s="104"/>
      <c r="F11" s="17">
        <f ca="1">IF(LEN(INDIRECT(ADDRESS(ROW()-1, COLUMN())))=1,"",INDIRECT(ADDRESS(51,7))-INDIRECT(ADDRESS(51,6)))</f>
        <v>10</v>
      </c>
      <c r="G11" s="17">
        <f ca="1">IF(LEN(INDIRECT(ADDRESS(ROW()-1, COLUMN())))=1,"",INDIRECT(ADDRESS(56,6))-INDIRECT(ADDRESS(56,7)))</f>
        <v>12</v>
      </c>
      <c r="H11" s="17">
        <f ca="1">IF(LEN(INDIRECT(ADDRESS(ROW()-1, COLUMN())))=1,"",INDIRECT(ADDRESS(66,7))-INDIRECT(ADDRESS(66,6)))</f>
        <v>-6</v>
      </c>
      <c r="I11" s="15"/>
      <c r="J11" s="17">
        <f ca="1">IF(LEN(INDIRECT(ADDRESS(ROW()-1, COLUMN())))=1,"",INDIRECT(ADDRESS(80,6))-INDIRECT(ADDRESS(80,7)))</f>
        <v>-8</v>
      </c>
      <c r="K11" s="17">
        <f ca="1">IF(LEN(INDIRECT(ADDRESS(ROW()-1, COLUMN())))=1,"",INDIRECT(ADDRESS(84,7))-INDIRECT(ADDRESS(84,6)))</f>
        <v>12</v>
      </c>
      <c r="L11" s="17">
        <f ca="1">IF(LEN(INDIRECT(ADDRESS(ROW()-1, COLUMN())))=1,"",INDIRECT(ADDRESS(30,6))-INDIRECT(ADDRESS(30,7)))</f>
        <v>11</v>
      </c>
      <c r="M11" s="17">
        <f ca="1">IF(LEN(INDIRECT(ADDRESS(ROW()-1, COLUMN())))=1,"",INDIRECT(ADDRESS(36,7))-INDIRECT(ADDRESS(36,6)))</f>
        <v>9</v>
      </c>
      <c r="N11" s="17">
        <f ca="1">IF(LEN(INDIRECT(ADDRESS(ROW()-1, COLUMN())))=1,"",INDIRECT(ADDRESS(43,6))-INDIRECT(ADDRESS(43,7)))</f>
        <v>4</v>
      </c>
      <c r="O11" s="35" t="str">
        <f ca="1">IF(LEN(INDIRECT(ADDRESS(ROW()-1, COLUMN())))=1,"",INDIRECT(ADDRESS(69,6))-INDIRECT(ADDRESS(69,7)))</f>
        <v/>
      </c>
      <c r="P11" s="101"/>
      <c r="Q11" s="82"/>
      <c r="R11" s="101"/>
    </row>
    <row r="12" spans="1:18" ht="24" customHeight="1">
      <c r="A12"/>
      <c r="B12" s="106">
        <v>5</v>
      </c>
      <c r="C12" s="103" t="s">
        <v>61</v>
      </c>
      <c r="D12" s="104"/>
      <c r="E12" s="104"/>
      <c r="F12" s="7" t="str">
        <f ca="1">INDIRECT(ADDRESS(57,6))&amp;":"&amp;INDIRECT(ADDRESS(57,7))</f>
        <v>13:5</v>
      </c>
      <c r="G12" s="7" t="str">
        <f ca="1">INDIRECT(ADDRESS(65,7))&amp;":"&amp;INDIRECT(ADDRESS(65,6))</f>
        <v>11:13</v>
      </c>
      <c r="H12" s="7" t="str">
        <f ca="1">INDIRECT(ADDRESS(70,6))&amp;":"&amp;INDIRECT(ADDRESS(70,7))</f>
        <v>10:13</v>
      </c>
      <c r="I12" s="7" t="str">
        <f ca="1">INDIRECT(ADDRESS(80,7))&amp;":"&amp;INDIRECT(ADDRESS(80,6))</f>
        <v>13:5</v>
      </c>
      <c r="J12" s="8"/>
      <c r="K12" s="7" t="str">
        <f ca="1">INDIRECT(ADDRESS(31,6))&amp;":"&amp;INDIRECT(ADDRESS(31,7))</f>
        <v>13:7</v>
      </c>
      <c r="L12" s="7" t="str">
        <f ca="1">INDIRECT(ADDRESS(35,7))&amp;":"&amp;INDIRECT(ADDRESS(35,6))</f>
        <v>13:5</v>
      </c>
      <c r="M12" s="7" t="str">
        <f ca="1">INDIRECT(ADDRESS(44,6))&amp;":"&amp;INDIRECT(ADDRESS(44,7))</f>
        <v>13:5</v>
      </c>
      <c r="N12" s="7" t="str">
        <f ca="1">INDIRECT(ADDRESS(50,7))&amp;":"&amp;INDIRECT(ADDRESS(50,6))</f>
        <v>5:13</v>
      </c>
      <c r="O12" s="36" t="str">
        <f ca="1">INDIRECT(ADDRESS(83,6))&amp;":"&amp;INDIRECT(ADDRESS(83,7))</f>
        <v>:</v>
      </c>
      <c r="P12" s="101">
        <f ca="1">IF(COUNT(F13:O13)=0,"",COUNTIF(F13:O13,"&gt;0")+0.5*COUNTIF(F13:O13,0))</f>
        <v>5</v>
      </c>
      <c r="Q12" s="82"/>
      <c r="R12" s="101">
        <v>4</v>
      </c>
    </row>
    <row r="13" spans="1:18" ht="24" customHeight="1">
      <c r="A13"/>
      <c r="B13" s="107"/>
      <c r="C13" s="103"/>
      <c r="D13" s="104"/>
      <c r="E13" s="104"/>
      <c r="F13" s="17">
        <f ca="1">IF(LEN(INDIRECT(ADDRESS(ROW()-1, COLUMN())))=1,"",INDIRECT(ADDRESS(57,6))-INDIRECT(ADDRESS(57,7)))</f>
        <v>8</v>
      </c>
      <c r="G13" s="17">
        <f ca="1">IF(LEN(INDIRECT(ADDRESS(ROW()-1, COLUMN())))=1,"",INDIRECT(ADDRESS(65,7))-INDIRECT(ADDRESS(65,6)))</f>
        <v>-2</v>
      </c>
      <c r="H13" s="17">
        <f ca="1">IF(LEN(INDIRECT(ADDRESS(ROW()-1, COLUMN())))=1,"",INDIRECT(ADDRESS(70,6))-INDIRECT(ADDRESS(70,7)))</f>
        <v>-3</v>
      </c>
      <c r="I13" s="17">
        <f ca="1">IF(LEN(INDIRECT(ADDRESS(ROW()-1, COLUMN())))=1,"",INDIRECT(ADDRESS(80,7))-INDIRECT(ADDRESS(80,6)))</f>
        <v>8</v>
      </c>
      <c r="J13" s="15"/>
      <c r="K13" s="17">
        <f ca="1">IF(LEN(INDIRECT(ADDRESS(ROW()-1, COLUMN())))=1,"",INDIRECT(ADDRESS(31,6))-INDIRECT(ADDRESS(31,7)))</f>
        <v>6</v>
      </c>
      <c r="L13" s="17">
        <f ca="1">IF(LEN(INDIRECT(ADDRESS(ROW()-1, COLUMN())))=1,"",INDIRECT(ADDRESS(35,7))-INDIRECT(ADDRESS(35,6)))</f>
        <v>8</v>
      </c>
      <c r="M13" s="17">
        <f ca="1">IF(LEN(INDIRECT(ADDRESS(ROW()-1, COLUMN())))=1,"",INDIRECT(ADDRESS(44,6))-INDIRECT(ADDRESS(44,7)))</f>
        <v>8</v>
      </c>
      <c r="N13" s="17">
        <f ca="1">IF(LEN(INDIRECT(ADDRESS(ROW()-1, COLUMN())))=1,"",INDIRECT(ADDRESS(50,7))-INDIRECT(ADDRESS(50,6)))</f>
        <v>-8</v>
      </c>
      <c r="O13" s="35" t="str">
        <f ca="1">IF(LEN(INDIRECT(ADDRESS(ROW()-1, COLUMN())))=1,"",INDIRECT(ADDRESS(83,6))-INDIRECT(ADDRESS(83,7)))</f>
        <v/>
      </c>
      <c r="P13" s="101"/>
      <c r="Q13" s="82"/>
      <c r="R13" s="101"/>
    </row>
    <row r="14" spans="1:18" ht="24" customHeight="1">
      <c r="A14"/>
      <c r="B14" s="106">
        <v>6</v>
      </c>
      <c r="C14" s="103" t="s">
        <v>62</v>
      </c>
      <c r="D14" s="104"/>
      <c r="E14" s="104"/>
      <c r="F14" s="7" t="str">
        <f ca="1">INDIRECT(ADDRESS(64,7))&amp;":"&amp;INDIRECT(ADDRESS(64,6))</f>
        <v>5:13</v>
      </c>
      <c r="G14" s="7" t="str">
        <f ca="1">INDIRECT(ADDRESS(71,6))&amp;":"&amp;INDIRECT(ADDRESS(71,7))</f>
        <v>4:13</v>
      </c>
      <c r="H14" s="7" t="str">
        <f ca="1">INDIRECT(ADDRESS(79,7))&amp;":"&amp;INDIRECT(ADDRESS(79,6))</f>
        <v>2:13</v>
      </c>
      <c r="I14" s="7" t="str">
        <f ca="1">INDIRECT(ADDRESS(84,6))&amp;":"&amp;INDIRECT(ADDRESS(84,7))</f>
        <v>1:13</v>
      </c>
      <c r="J14" s="7" t="str">
        <f ca="1">INDIRECT(ADDRESS(31,7))&amp;":"&amp;INDIRECT(ADDRESS(31,6))</f>
        <v>7:13</v>
      </c>
      <c r="K14" s="8"/>
      <c r="L14" s="7" t="str">
        <f ca="1">INDIRECT(ADDRESS(45,6))&amp;":"&amp;INDIRECT(ADDRESS(45,7))</f>
        <v>13:11</v>
      </c>
      <c r="M14" s="7" t="str">
        <f ca="1">INDIRECT(ADDRESS(49,7))&amp;":"&amp;INDIRECT(ADDRESS(49,6))</f>
        <v>12:13</v>
      </c>
      <c r="N14" s="7" t="str">
        <f ca="1">INDIRECT(ADDRESS(58,6))&amp;":"&amp;INDIRECT(ADDRESS(58,7))</f>
        <v>13:12</v>
      </c>
      <c r="O14" s="36" t="str">
        <f ca="1">INDIRECT(ADDRESS(34,7))&amp;":"&amp;INDIRECT(ADDRESS(34,6))</f>
        <v>:</v>
      </c>
      <c r="P14" s="101">
        <f ca="1">IF(COUNT(F15:O15)=0,"",COUNTIF(F15:O15,"&gt;0")+0.5*COUNTIF(F15:O15,0))</f>
        <v>2</v>
      </c>
      <c r="Q14" s="82"/>
      <c r="R14" s="101">
        <v>7</v>
      </c>
    </row>
    <row r="15" spans="1:18" ht="24" customHeight="1">
      <c r="A15"/>
      <c r="B15" s="107"/>
      <c r="C15" s="103"/>
      <c r="D15" s="104"/>
      <c r="E15" s="104"/>
      <c r="F15" s="17">
        <f ca="1">IF(LEN(INDIRECT(ADDRESS(ROW()-1, COLUMN())))=1,"",INDIRECT(ADDRESS(64,7))-INDIRECT(ADDRESS(64,6)))</f>
        <v>-8</v>
      </c>
      <c r="G15" s="17">
        <f ca="1">IF(LEN(INDIRECT(ADDRESS(ROW()-1, COLUMN())))=1,"",INDIRECT(ADDRESS(71,6))-INDIRECT(ADDRESS(71,7)))</f>
        <v>-9</v>
      </c>
      <c r="H15" s="17">
        <f ca="1">IF(LEN(INDIRECT(ADDRESS(ROW()-1, COLUMN())))=1,"",INDIRECT(ADDRESS(79,7))-INDIRECT(ADDRESS(79,6)))</f>
        <v>-11</v>
      </c>
      <c r="I15" s="17">
        <f ca="1">IF(LEN(INDIRECT(ADDRESS(ROW()-1, COLUMN())))=1,"",INDIRECT(ADDRESS(84,6))-INDIRECT(ADDRESS(84,7)))</f>
        <v>-12</v>
      </c>
      <c r="J15" s="17">
        <f ca="1">IF(LEN(INDIRECT(ADDRESS(ROW()-1, COLUMN())))=1,"",INDIRECT(ADDRESS(31,7))-INDIRECT(ADDRESS(31,6)))</f>
        <v>-6</v>
      </c>
      <c r="K15" s="15"/>
      <c r="L15" s="17">
        <f ca="1">IF(LEN(INDIRECT(ADDRESS(ROW()-1, COLUMN())))=1,"",INDIRECT(ADDRESS(45,6))-INDIRECT(ADDRESS(45,7)))</f>
        <v>2</v>
      </c>
      <c r="M15" s="17">
        <f ca="1">IF(LEN(INDIRECT(ADDRESS(ROW()-1, COLUMN())))=1,"",INDIRECT(ADDRESS(49,7))-INDIRECT(ADDRESS(49,6)))</f>
        <v>-1</v>
      </c>
      <c r="N15" s="17">
        <f ca="1">IF(LEN(INDIRECT(ADDRESS(ROW()-1, COLUMN())))=1,"",INDIRECT(ADDRESS(58,6))-INDIRECT(ADDRESS(58,7)))</f>
        <v>1</v>
      </c>
      <c r="O15" s="35" t="str">
        <f ca="1">IF(LEN(INDIRECT(ADDRESS(ROW()-1, COLUMN())))=1,"",INDIRECT(ADDRESS(34,7))-INDIRECT(ADDRESS(34,6)))</f>
        <v/>
      </c>
      <c r="P15" s="101"/>
      <c r="Q15" s="82"/>
      <c r="R15" s="101"/>
    </row>
    <row r="16" spans="1:18" ht="24" customHeight="1">
      <c r="A16"/>
      <c r="B16" s="109">
        <v>7</v>
      </c>
      <c r="C16" s="103" t="s">
        <v>63</v>
      </c>
      <c r="D16" s="104"/>
      <c r="E16" s="104"/>
      <c r="F16" s="7" t="str">
        <f ca="1">INDIRECT(ADDRESS(72,6))&amp;":"&amp;INDIRECT(ADDRESS(72,7))</f>
        <v>1:13</v>
      </c>
      <c r="G16" s="7" t="str">
        <f ca="1">INDIRECT(ADDRESS(78,7))&amp;":"&amp;INDIRECT(ADDRESS(78,6))</f>
        <v>13:12</v>
      </c>
      <c r="H16" s="7" t="str">
        <f ca="1">INDIRECT(ADDRESS(85,6))&amp;":"&amp;INDIRECT(ADDRESS(85,7))</f>
        <v>2:13</v>
      </c>
      <c r="I16" s="7" t="str">
        <f ca="1">INDIRECT(ADDRESS(30,7))&amp;":"&amp;INDIRECT(ADDRESS(30,6))</f>
        <v>2:13</v>
      </c>
      <c r="J16" s="7" t="str">
        <f ca="1">INDIRECT(ADDRESS(35,6))&amp;":"&amp;INDIRECT(ADDRESS(35,7))</f>
        <v>5:13</v>
      </c>
      <c r="K16" s="7" t="str">
        <f ca="1">INDIRECT(ADDRESS(45,7))&amp;":"&amp;INDIRECT(ADDRESS(45,6))</f>
        <v>11:13</v>
      </c>
      <c r="L16" s="8"/>
      <c r="M16" s="7" t="str">
        <f ca="1">INDIRECT(ADDRESS(59,6))&amp;":"&amp;INDIRECT(ADDRESS(59,7))</f>
        <v>13:5</v>
      </c>
      <c r="N16" s="7" t="str">
        <f ca="1">INDIRECT(ADDRESS(63,7))&amp;":"&amp;INDIRECT(ADDRESS(63,6))</f>
        <v>7:13</v>
      </c>
      <c r="O16" s="36" t="str">
        <f ca="1">INDIRECT(ADDRESS(48,7))&amp;":"&amp;INDIRECT(ADDRESS(48,6))</f>
        <v>:</v>
      </c>
      <c r="P16" s="101">
        <f ca="1">IF(COUNT(F17:O17)=0,"",COUNTIF(F17:O17,"&gt;0")+0.5*COUNTIF(F17:O17,0))</f>
        <v>2</v>
      </c>
      <c r="Q16" s="82"/>
      <c r="R16" s="101">
        <v>8</v>
      </c>
    </row>
    <row r="17" spans="1:18" ht="24" customHeight="1">
      <c r="A17"/>
      <c r="B17" s="109"/>
      <c r="C17" s="103"/>
      <c r="D17" s="104"/>
      <c r="E17" s="104"/>
      <c r="F17" s="17">
        <f ca="1">IF(LEN(INDIRECT(ADDRESS(ROW()-1, COLUMN())))=1,"",INDIRECT(ADDRESS(72,6))-INDIRECT(ADDRESS(72,7)))</f>
        <v>-12</v>
      </c>
      <c r="G17" s="17">
        <f ca="1">IF(LEN(INDIRECT(ADDRESS(ROW()-1, COLUMN())))=1,"",INDIRECT(ADDRESS(78,7))-INDIRECT(ADDRESS(78,6)))</f>
        <v>1</v>
      </c>
      <c r="H17" s="17">
        <f ca="1">IF(LEN(INDIRECT(ADDRESS(ROW()-1, COLUMN())))=1,"",INDIRECT(ADDRESS(85,6))-INDIRECT(ADDRESS(85,7)))</f>
        <v>-11</v>
      </c>
      <c r="I17" s="17">
        <f ca="1">IF(LEN(INDIRECT(ADDRESS(ROW()-1, COLUMN())))=1,"",INDIRECT(ADDRESS(30,7))-INDIRECT(ADDRESS(30,6)))</f>
        <v>-11</v>
      </c>
      <c r="J17" s="17">
        <f ca="1">IF(LEN(INDIRECT(ADDRESS(ROW()-1, COLUMN())))=1,"",INDIRECT(ADDRESS(35,6))-INDIRECT(ADDRESS(35,7)))</f>
        <v>-8</v>
      </c>
      <c r="K17" s="17">
        <f ca="1">IF(LEN(INDIRECT(ADDRESS(ROW()-1, COLUMN())))=1,"",INDIRECT(ADDRESS(45,7))-INDIRECT(ADDRESS(45,6)))</f>
        <v>-2</v>
      </c>
      <c r="L17" s="15"/>
      <c r="M17" s="17">
        <f ca="1">IF(LEN(INDIRECT(ADDRESS(ROW()-1, COLUMN())))=1,"",INDIRECT(ADDRESS(59,6))-INDIRECT(ADDRESS(59,7)))</f>
        <v>8</v>
      </c>
      <c r="N17" s="17">
        <f ca="1">IF(LEN(INDIRECT(ADDRESS(ROW()-1, COLUMN())))=1,"",INDIRECT(ADDRESS(63,7))-INDIRECT(ADDRESS(63,6)))</f>
        <v>-6</v>
      </c>
      <c r="O17" s="35" t="str">
        <f ca="1">IF(LEN(INDIRECT(ADDRESS(ROW()-1, COLUMN())))=1,"",INDIRECT(ADDRESS(48,7))-INDIRECT(ADDRESS(48,6)))</f>
        <v/>
      </c>
      <c r="P17" s="101"/>
      <c r="Q17" s="82"/>
      <c r="R17" s="101"/>
    </row>
    <row r="18" spans="1:18" ht="24" customHeight="1">
      <c r="A18"/>
      <c r="B18" s="111">
        <v>8</v>
      </c>
      <c r="C18" s="103" t="s">
        <v>64</v>
      </c>
      <c r="D18" s="104"/>
      <c r="E18" s="104"/>
      <c r="F18" s="7" t="str">
        <f ca="1">INDIRECT(ADDRESS(77,7))&amp;":"&amp;INDIRECT(ADDRESS(77,6))</f>
        <v>3:13</v>
      </c>
      <c r="G18" s="7" t="str">
        <f ca="1">INDIRECT(ADDRESS(86,6))&amp;":"&amp;INDIRECT(ADDRESS(86,7))</f>
        <v>7:13</v>
      </c>
      <c r="H18" s="7" t="str">
        <f ca="1">INDIRECT(ADDRESS(29,7))&amp;":"&amp;INDIRECT(ADDRESS(29,6))</f>
        <v>6:13</v>
      </c>
      <c r="I18" s="7" t="str">
        <f ca="1">INDIRECT(ADDRESS(36,6))&amp;":"&amp;INDIRECT(ADDRESS(36,7))</f>
        <v>4:13</v>
      </c>
      <c r="J18" s="7" t="str">
        <f ca="1">INDIRECT(ADDRESS(44,7))&amp;":"&amp;INDIRECT(ADDRESS(44,6))</f>
        <v>5:13</v>
      </c>
      <c r="K18" s="7" t="str">
        <f ca="1">INDIRECT(ADDRESS(49,6))&amp;":"&amp;INDIRECT(ADDRESS(49,7))</f>
        <v>13:12</v>
      </c>
      <c r="L18" s="7" t="str">
        <f ca="1">INDIRECT(ADDRESS(59,7))&amp;":"&amp;INDIRECT(ADDRESS(59,6))</f>
        <v>5:13</v>
      </c>
      <c r="M18" s="8"/>
      <c r="N18" s="7" t="str">
        <f ca="1">INDIRECT(ADDRESS(73,6))&amp;":"&amp;INDIRECT(ADDRESS(73,7))</f>
        <v>5:13</v>
      </c>
      <c r="O18" s="36" t="str">
        <f ca="1">INDIRECT(ADDRESS(62,7))&amp;":"&amp;INDIRECT(ADDRESS(62,6))</f>
        <v>:</v>
      </c>
      <c r="P18" s="101">
        <f ca="1">IF(COUNT(F19:O19)=0,"",COUNTIF(F19:O19,"&gt;0")+0.5*COUNTIF(F19:O19,0))</f>
        <v>1</v>
      </c>
      <c r="Q18" s="82"/>
      <c r="R18" s="101">
        <v>9</v>
      </c>
    </row>
    <row r="19" spans="1:18" ht="24" customHeight="1">
      <c r="A19"/>
      <c r="B19" s="111"/>
      <c r="C19" s="103"/>
      <c r="D19" s="104"/>
      <c r="E19" s="104"/>
      <c r="F19" s="17">
        <f ca="1">IF(LEN(INDIRECT(ADDRESS(ROW()-1, COLUMN())))=1,"",INDIRECT(ADDRESS(77,7))-INDIRECT(ADDRESS(77,6)))</f>
        <v>-10</v>
      </c>
      <c r="G19" s="17">
        <f ca="1">IF(LEN(INDIRECT(ADDRESS(ROW()-1, COLUMN())))=1,"",INDIRECT(ADDRESS(86,6))-INDIRECT(ADDRESS(86,7)))</f>
        <v>-6</v>
      </c>
      <c r="H19" s="17">
        <f ca="1">IF(LEN(INDIRECT(ADDRESS(ROW()-1, COLUMN())))=1,"",INDIRECT(ADDRESS(29,7))-INDIRECT(ADDRESS(29,6)))</f>
        <v>-7</v>
      </c>
      <c r="I19" s="17">
        <f ca="1">IF(LEN(INDIRECT(ADDRESS(ROW()-1, COLUMN())))=1,"",INDIRECT(ADDRESS(36,6))-INDIRECT(ADDRESS(36,7)))</f>
        <v>-9</v>
      </c>
      <c r="J19" s="17">
        <f ca="1">IF(LEN(INDIRECT(ADDRESS(ROW()-1, COLUMN())))=1,"",INDIRECT(ADDRESS(44,7))-INDIRECT(ADDRESS(44,6)))</f>
        <v>-8</v>
      </c>
      <c r="K19" s="17">
        <f ca="1">IF(LEN(INDIRECT(ADDRESS(ROW()-1, COLUMN())))=1,"",INDIRECT(ADDRESS(49,6))-INDIRECT(ADDRESS(49,7)))</f>
        <v>1</v>
      </c>
      <c r="L19" s="17">
        <f ca="1">IF(LEN(INDIRECT(ADDRESS(ROW()-1, COLUMN())))=1,"",INDIRECT(ADDRESS(59,7))-INDIRECT(ADDRESS(59,6)))</f>
        <v>-8</v>
      </c>
      <c r="M19" s="15"/>
      <c r="N19" s="17">
        <f ca="1">IF(LEN(INDIRECT(ADDRESS(ROW()-1, COLUMN())))=1,"",INDIRECT(ADDRESS(73,6))-INDIRECT(ADDRESS(73,7)))</f>
        <v>-8</v>
      </c>
      <c r="O19" s="35" t="str">
        <f ca="1">IF(LEN(INDIRECT(ADDRESS(ROW()-1, COLUMN())))=1,"",INDIRECT(ADDRESS(62,7))-INDIRECT(ADDRESS(62,6)))</f>
        <v/>
      </c>
      <c r="P19" s="101"/>
      <c r="Q19" s="82"/>
      <c r="R19" s="101"/>
    </row>
    <row r="20" spans="1:18" ht="24" customHeight="1">
      <c r="A20"/>
      <c r="B20" s="109">
        <v>9</v>
      </c>
      <c r="C20" s="103" t="s">
        <v>65</v>
      </c>
      <c r="D20" s="104"/>
      <c r="E20" s="104"/>
      <c r="F20" s="7" t="str">
        <f ca="1">INDIRECT(ADDRESS(87,6))&amp;":"&amp;INDIRECT(ADDRESS(87,7))</f>
        <v>7:13</v>
      </c>
      <c r="G20" s="7" t="str">
        <f ca="1">INDIRECT(ADDRESS(28,7))&amp;":"&amp;INDIRECT(ADDRESS(28,6))</f>
        <v>13:3</v>
      </c>
      <c r="H20" s="7" t="str">
        <f ca="1">INDIRECT(ADDRESS(37,6))&amp;":"&amp;INDIRECT(ADDRESS(37,7))</f>
        <v>6:13</v>
      </c>
      <c r="I20" s="7" t="str">
        <f ca="1">INDIRECT(ADDRESS(43,7))&amp;":"&amp;INDIRECT(ADDRESS(43,6))</f>
        <v>9:13</v>
      </c>
      <c r="J20" s="7" t="str">
        <f ca="1">INDIRECT(ADDRESS(50,6))&amp;":"&amp;INDIRECT(ADDRESS(50,7))</f>
        <v>13:5</v>
      </c>
      <c r="K20" s="7" t="str">
        <f ca="1">INDIRECT(ADDRESS(58,7))&amp;":"&amp;INDIRECT(ADDRESS(58,6))</f>
        <v>12:13</v>
      </c>
      <c r="L20" s="7" t="str">
        <f ca="1">INDIRECT(ADDRESS(63,6))&amp;":"&amp;INDIRECT(ADDRESS(63,7))</f>
        <v>13:7</v>
      </c>
      <c r="M20" s="7" t="str">
        <f ca="1">INDIRECT(ADDRESS(73,7))&amp;":"&amp;INDIRECT(ADDRESS(73,6))</f>
        <v>13:5</v>
      </c>
      <c r="N20" s="8"/>
      <c r="O20" s="36" t="str">
        <f ca="1">INDIRECT(ADDRESS(76,7))&amp;":"&amp;INDIRECT(ADDRESS(76,6))</f>
        <v>:</v>
      </c>
      <c r="P20" s="101">
        <f ca="1">IF(COUNT(F21:O21)=0,"",COUNTIF(F21:O21,"&gt;0")+0.5*COUNTIF(F21:O21,0))</f>
        <v>4</v>
      </c>
      <c r="Q20" s="82"/>
      <c r="R20" s="101">
        <v>5</v>
      </c>
    </row>
    <row r="21" spans="1:18" ht="24" customHeight="1">
      <c r="A21"/>
      <c r="B21" s="109"/>
      <c r="C21" s="103"/>
      <c r="D21" s="104"/>
      <c r="E21" s="104"/>
      <c r="F21" s="17">
        <f ca="1">IF(LEN(INDIRECT(ADDRESS(ROW()-1, COLUMN())))=1,"",INDIRECT(ADDRESS(87,6))-INDIRECT(ADDRESS(87,7)))</f>
        <v>-6</v>
      </c>
      <c r="G21" s="17">
        <f ca="1">IF(LEN(INDIRECT(ADDRESS(ROW()-1, COLUMN())))=1,"",INDIRECT(ADDRESS(28,7))-INDIRECT(ADDRESS(28,6)))</f>
        <v>10</v>
      </c>
      <c r="H21" s="17">
        <f ca="1">IF(LEN(INDIRECT(ADDRESS(ROW()-1, COLUMN())))=1,"",INDIRECT(ADDRESS(37,6))-INDIRECT(ADDRESS(37,7)))</f>
        <v>-7</v>
      </c>
      <c r="I21" s="17">
        <f ca="1">IF(LEN(INDIRECT(ADDRESS(ROW()-1, COLUMN())))=1,"",INDIRECT(ADDRESS(43,7))-INDIRECT(ADDRESS(43,6)))</f>
        <v>-4</v>
      </c>
      <c r="J21" s="17">
        <f ca="1">IF(LEN(INDIRECT(ADDRESS(ROW()-1, COLUMN())))=1,"",INDIRECT(ADDRESS(50,6))-INDIRECT(ADDRESS(50,7)))</f>
        <v>8</v>
      </c>
      <c r="K21" s="17">
        <f ca="1">IF(LEN(INDIRECT(ADDRESS(ROW()-1, COLUMN())))=1,"",INDIRECT(ADDRESS(58,7))-INDIRECT(ADDRESS(58,6)))</f>
        <v>-1</v>
      </c>
      <c r="L21" s="17">
        <f ca="1">IF(LEN(INDIRECT(ADDRESS(ROW()-1, COLUMN())))=1,"",INDIRECT(ADDRESS(63,6))-INDIRECT(ADDRESS(63,7)))</f>
        <v>6</v>
      </c>
      <c r="M21" s="17">
        <f ca="1">IF(LEN(INDIRECT(ADDRESS(ROW()-1, COLUMN())))=1,"",INDIRECT(ADDRESS(73,7))-INDIRECT(ADDRESS(73,6)))</f>
        <v>8</v>
      </c>
      <c r="N21" s="15"/>
      <c r="O21" s="35" t="str">
        <f ca="1">IF(LEN(INDIRECT(ADDRESS(ROW()-1, COLUMN())))=1,"",INDIRECT(ADDRESS(76,7))-INDIRECT(ADDRESS(76,6)))</f>
        <v/>
      </c>
      <c r="P21" s="101"/>
      <c r="Q21" s="82"/>
      <c r="R21" s="101"/>
    </row>
    <row r="22" spans="1:18" ht="0.75" customHeight="1">
      <c r="A22"/>
      <c r="B22" s="106">
        <v>10</v>
      </c>
      <c r="C22" s="103" t="s">
        <v>55</v>
      </c>
      <c r="D22" s="104"/>
      <c r="E22" s="104"/>
      <c r="F22" s="7" t="str">
        <f ca="1">INDIRECT(ADDRESS(27,7))&amp;":"&amp;INDIRECT(ADDRESS(27,6))</f>
        <v>:</v>
      </c>
      <c r="G22" s="7" t="str">
        <f ca="1">INDIRECT(ADDRESS(41,7))&amp;":"&amp;INDIRECT(ADDRESS(41,6))</f>
        <v>:</v>
      </c>
      <c r="H22" s="7" t="str">
        <f ca="1">INDIRECT(ADDRESS(55,7))&amp;":"&amp;INDIRECT(ADDRESS(55,6))</f>
        <v>:</v>
      </c>
      <c r="I22" s="7" t="str">
        <f ca="1">INDIRECT(ADDRESS(69,7))&amp;":"&amp;INDIRECT(ADDRESS(69,6))</f>
        <v>:</v>
      </c>
      <c r="J22" s="7" t="str">
        <f ca="1">INDIRECT(ADDRESS(83,7))&amp;":"&amp;INDIRECT(ADDRESS(83,6))</f>
        <v>:</v>
      </c>
      <c r="K22" s="7" t="str">
        <f ca="1">INDIRECT(ADDRESS(34,6))&amp;":"&amp;INDIRECT(ADDRESS(34,7))</f>
        <v>:</v>
      </c>
      <c r="L22" s="7" t="str">
        <f ca="1">INDIRECT(ADDRESS(48,6))&amp;":"&amp;INDIRECT(ADDRESS(48,7))</f>
        <v>:</v>
      </c>
      <c r="M22" s="7" t="str">
        <f ca="1">INDIRECT(ADDRESS(62,6))&amp;":"&amp;INDIRECT(ADDRESS(62,7))</f>
        <v>:</v>
      </c>
      <c r="N22" s="7" t="str">
        <f ca="1">INDIRECT(ADDRESS(76,6))&amp;":"&amp;INDIRECT(ADDRESS(76,7))</f>
        <v>:</v>
      </c>
      <c r="O22" s="37"/>
      <c r="P22" s="101" t="str">
        <f ca="1">IF(COUNT(F23:O23)=0,"",COUNTIF(F23:O23,"&gt;0")+0.5*COUNTIF(F23:O23,0))</f>
        <v/>
      </c>
      <c r="Q22" s="82"/>
      <c r="R22" s="101"/>
    </row>
    <row r="23" spans="1:18" ht="24" hidden="1" customHeight="1" thickBot="1">
      <c r="A23"/>
      <c r="B23" s="110"/>
      <c r="C23" s="118"/>
      <c r="D23" s="119"/>
      <c r="E23" s="119"/>
      <c r="F23" s="19" t="str">
        <f ca="1">IF(LEN(INDIRECT(ADDRESS(ROW()-1, COLUMN())))=1,"",INDIRECT(ADDRESS(27,7))-INDIRECT(ADDRESS(27,6)))</f>
        <v/>
      </c>
      <c r="G23" s="19" t="str">
        <f ca="1">IF(LEN(INDIRECT(ADDRESS(ROW()-1, COLUMN())))=1,"",INDIRECT(ADDRESS(41,7))-INDIRECT(ADDRESS(41,6)))</f>
        <v/>
      </c>
      <c r="H23" s="19" t="str">
        <f ca="1">IF(LEN(INDIRECT(ADDRESS(ROW()-1, COLUMN())))=1,"",INDIRECT(ADDRESS(55,7))-INDIRECT(ADDRESS(55,6)))</f>
        <v/>
      </c>
      <c r="I23" s="19" t="str">
        <f ca="1">IF(LEN(INDIRECT(ADDRESS(ROW()-1, COLUMN())))=1,"",INDIRECT(ADDRESS(69,7))-INDIRECT(ADDRESS(69,6)))</f>
        <v/>
      </c>
      <c r="J23" s="19" t="str">
        <f ca="1">IF(LEN(INDIRECT(ADDRESS(ROW()-1, COLUMN())))=1,"",INDIRECT(ADDRESS(83,7))-INDIRECT(ADDRESS(83,6)))</f>
        <v/>
      </c>
      <c r="K23" s="19" t="str">
        <f ca="1">IF(LEN(INDIRECT(ADDRESS(ROW()-1, COLUMN())))=1,"",INDIRECT(ADDRESS(34,6))-INDIRECT(ADDRESS(34,7)))</f>
        <v/>
      </c>
      <c r="L23" s="19" t="str">
        <f ca="1">IF(LEN(INDIRECT(ADDRESS(ROW()-1, COLUMN())))=1,"",INDIRECT(ADDRESS(48,6))-INDIRECT(ADDRESS(48,7)))</f>
        <v/>
      </c>
      <c r="M23" s="19" t="str">
        <f ca="1">IF(LEN(INDIRECT(ADDRESS(ROW()-1, COLUMN())))=1,"",INDIRECT(ADDRESS(62,6))-INDIRECT(ADDRESS(62,7)))</f>
        <v/>
      </c>
      <c r="N23" s="19" t="str">
        <f ca="1">IF(LEN(INDIRECT(ADDRESS(ROW()-1, COLUMN())))=1,"",INDIRECT(ADDRESS(76,6))-INDIRECT(ADDRESS(76,7)))</f>
        <v/>
      </c>
      <c r="O23" s="83"/>
      <c r="P23" s="102"/>
      <c r="Q23" s="84"/>
      <c r="R23" s="102"/>
    </row>
    <row r="24" spans="1:18" ht="30" customHeight="1">
      <c r="A24" s="68"/>
      <c r="B24" s="73"/>
      <c r="C24" s="108"/>
      <c r="D24" s="108"/>
      <c r="E24" s="108"/>
      <c r="F24" s="38"/>
      <c r="G24" s="38"/>
      <c r="H24" s="108"/>
      <c r="I24" s="108"/>
      <c r="J24" s="108"/>
      <c r="K24" s="73"/>
      <c r="L24" s="31"/>
      <c r="M24" s="32"/>
      <c r="N24" s="32"/>
      <c r="O24" s="32"/>
    </row>
    <row r="25" spans="1:18" ht="30" customHeight="1">
      <c r="A25"/>
      <c r="M25" s="34"/>
      <c r="N25" s="34"/>
      <c r="O25" s="34"/>
    </row>
    <row r="26" spans="1:18" ht="15" customHeight="1" thickBot="1">
      <c r="A26"/>
      <c r="B26" s="100" t="s">
        <v>4</v>
      </c>
      <c r="C26" s="100"/>
      <c r="D26" s="100"/>
      <c r="E26" s="100"/>
      <c r="F26" s="100"/>
      <c r="G26" s="100"/>
      <c r="H26" s="100"/>
      <c r="I26" s="100"/>
      <c r="J26" s="100"/>
      <c r="K26" s="100"/>
      <c r="M26" s="34"/>
      <c r="N26" s="34"/>
      <c r="O26" s="34"/>
    </row>
    <row r="27" spans="1:18" ht="15" customHeight="1" thickBot="1">
      <c r="A27"/>
      <c r="B27" s="5"/>
      <c r="C27" s="99"/>
      <c r="D27" s="99"/>
      <c r="E27" s="99"/>
      <c r="F27" s="85"/>
      <c r="G27" s="24"/>
      <c r="H27" s="99"/>
      <c r="I27" s="99"/>
      <c r="J27" s="99"/>
      <c r="K27" s="5"/>
      <c r="L27" s="31"/>
      <c r="M27" s="32"/>
      <c r="N27" s="32"/>
      <c r="O27" s="32"/>
    </row>
    <row r="28" spans="1:18" ht="15" customHeight="1" thickBot="1">
      <c r="A28"/>
      <c r="B28" s="5"/>
      <c r="C28" s="99" t="str">
        <f>C6</f>
        <v>Гутников Денис</v>
      </c>
      <c r="D28" s="99"/>
      <c r="E28" s="99"/>
      <c r="F28" s="85">
        <v>3</v>
      </c>
      <c r="G28" s="24">
        <v>13</v>
      </c>
      <c r="H28" s="99" t="str">
        <f>C20</f>
        <v>Грищенко Сергей</v>
      </c>
      <c r="I28" s="99"/>
      <c r="J28" s="99"/>
      <c r="K28" s="5"/>
      <c r="L28" s="31" t="s">
        <v>51</v>
      </c>
      <c r="M28" s="32"/>
      <c r="N28" s="32"/>
      <c r="O28" s="32"/>
    </row>
    <row r="29" spans="1:18" ht="15" customHeight="1" thickBot="1">
      <c r="A29"/>
      <c r="B29" s="5"/>
      <c r="C29" s="99" t="str">
        <f>C8</f>
        <v>Калякин Максим</v>
      </c>
      <c r="D29" s="99"/>
      <c r="E29" s="99"/>
      <c r="F29" s="85">
        <v>13</v>
      </c>
      <c r="G29" s="24">
        <v>6</v>
      </c>
      <c r="H29" s="99" t="str">
        <f>C18</f>
        <v>Беркман Виталий</v>
      </c>
      <c r="I29" s="99"/>
      <c r="J29" s="99"/>
      <c r="K29" s="5"/>
      <c r="L29" s="31" t="s">
        <v>52</v>
      </c>
      <c r="M29" s="32"/>
      <c r="N29" s="32"/>
      <c r="O29" s="32"/>
    </row>
    <row r="30" spans="1:18" ht="15" customHeight="1" thickBot="1">
      <c r="A30"/>
      <c r="B30" s="5"/>
      <c r="C30" s="99" t="str">
        <f>C10</f>
        <v>Лукин Сергей</v>
      </c>
      <c r="D30" s="99"/>
      <c r="E30" s="99"/>
      <c r="F30" s="85">
        <v>13</v>
      </c>
      <c r="G30" s="24">
        <v>2</v>
      </c>
      <c r="H30" s="99" t="str">
        <f>C16</f>
        <v>Плетнёв Андрей</v>
      </c>
      <c r="I30" s="99"/>
      <c r="J30" s="99"/>
      <c r="K30" s="5"/>
      <c r="L30" s="31" t="s">
        <v>53</v>
      </c>
      <c r="M30" s="32"/>
      <c r="N30" s="32"/>
      <c r="O30" s="32"/>
    </row>
    <row r="31" spans="1:18" ht="15" customHeight="1" thickBot="1">
      <c r="A31"/>
      <c r="B31" s="5"/>
      <c r="C31" s="99" t="str">
        <f>C12</f>
        <v>Муругов Вадим</v>
      </c>
      <c r="D31" s="99"/>
      <c r="E31" s="99"/>
      <c r="F31" s="85">
        <v>13</v>
      </c>
      <c r="G31" s="24">
        <v>7</v>
      </c>
      <c r="H31" s="99" t="str">
        <f>C14</f>
        <v>Колобков Пётр</v>
      </c>
      <c r="I31" s="99"/>
      <c r="J31" s="99"/>
      <c r="K31" s="5"/>
      <c r="L31" s="31" t="s">
        <v>54</v>
      </c>
      <c r="M31" s="32"/>
      <c r="N31" s="32"/>
      <c r="O31" s="32"/>
    </row>
    <row r="32" spans="1:18" ht="15" customHeight="1">
      <c r="A32"/>
      <c r="M32" s="34"/>
      <c r="N32" s="34"/>
      <c r="O32" s="34"/>
    </row>
    <row r="33" spans="1:15" ht="15" customHeight="1" thickBot="1">
      <c r="A33"/>
      <c r="B33" s="100" t="s">
        <v>5</v>
      </c>
      <c r="C33" s="100"/>
      <c r="D33" s="100"/>
      <c r="E33" s="100"/>
      <c r="F33" s="100"/>
      <c r="G33" s="100"/>
      <c r="H33" s="100"/>
      <c r="I33" s="100"/>
      <c r="J33" s="100"/>
      <c r="K33" s="100"/>
      <c r="M33" s="34"/>
      <c r="N33" s="32"/>
      <c r="O33" s="32"/>
    </row>
    <row r="34" spans="1:15" ht="15" customHeight="1" thickBot="1">
      <c r="A34"/>
      <c r="B34" s="5"/>
      <c r="C34" s="99"/>
      <c r="D34" s="99"/>
      <c r="E34" s="99"/>
      <c r="F34" s="85"/>
      <c r="G34" s="24"/>
      <c r="H34" s="99"/>
      <c r="I34" s="99"/>
      <c r="J34" s="99"/>
      <c r="K34" s="5"/>
      <c r="L34" s="31"/>
      <c r="M34" s="32"/>
      <c r="N34" s="32"/>
      <c r="O34" s="32"/>
    </row>
    <row r="35" spans="1:15" ht="15" customHeight="1" thickBot="1">
      <c r="A35"/>
      <c r="B35" s="5"/>
      <c r="C35" s="99" t="str">
        <f>C16</f>
        <v>Плетнёв Андрей</v>
      </c>
      <c r="D35" s="99"/>
      <c r="E35" s="99"/>
      <c r="F35" s="85">
        <v>5</v>
      </c>
      <c r="G35" s="24">
        <v>13</v>
      </c>
      <c r="H35" s="99" t="str">
        <f>C12</f>
        <v>Муругов Вадим</v>
      </c>
      <c r="I35" s="99"/>
      <c r="J35" s="99"/>
      <c r="K35" s="5"/>
      <c r="L35" s="31" t="s">
        <v>52</v>
      </c>
      <c r="M35" s="32"/>
      <c r="N35" s="32"/>
      <c r="O35" s="32"/>
    </row>
    <row r="36" spans="1:15" ht="15" customHeight="1" thickBot="1">
      <c r="A36"/>
      <c r="B36" s="5"/>
      <c r="C36" s="99" t="str">
        <f>C18</f>
        <v>Беркман Виталий</v>
      </c>
      <c r="D36" s="99"/>
      <c r="E36" s="99"/>
      <c r="F36" s="85">
        <v>4</v>
      </c>
      <c r="G36" s="24">
        <v>13</v>
      </c>
      <c r="H36" s="99" t="str">
        <f>C10</f>
        <v>Лукин Сергей</v>
      </c>
      <c r="I36" s="99"/>
      <c r="J36" s="99"/>
      <c r="K36" s="5"/>
      <c r="L36" s="31" t="s">
        <v>53</v>
      </c>
      <c r="M36" s="32"/>
      <c r="N36" s="32"/>
      <c r="O36" s="32"/>
    </row>
    <row r="37" spans="1:15" ht="15" customHeight="1" thickBot="1">
      <c r="A37"/>
      <c r="B37" s="5"/>
      <c r="C37" s="99" t="str">
        <f>C20</f>
        <v>Грищенко Сергей</v>
      </c>
      <c r="D37" s="99"/>
      <c r="E37" s="99"/>
      <c r="F37" s="85">
        <v>6</v>
      </c>
      <c r="G37" s="24">
        <v>13</v>
      </c>
      <c r="H37" s="99" t="str">
        <f>C8</f>
        <v>Калякин Максим</v>
      </c>
      <c r="I37" s="99"/>
      <c r="J37" s="99"/>
      <c r="K37" s="5"/>
      <c r="L37" s="31" t="s">
        <v>54</v>
      </c>
      <c r="M37" s="32"/>
      <c r="N37" s="34"/>
      <c r="O37" s="34"/>
    </row>
    <row r="38" spans="1:15" ht="15" customHeight="1" thickBot="1">
      <c r="A38"/>
      <c r="B38" s="5"/>
      <c r="C38" s="99" t="str">
        <f>C4</f>
        <v>Капран-Индаяти Сергей</v>
      </c>
      <c r="D38" s="99"/>
      <c r="E38" s="99"/>
      <c r="F38" s="85">
        <v>13</v>
      </c>
      <c r="G38" s="24">
        <v>4</v>
      </c>
      <c r="H38" s="99" t="str">
        <f>C6</f>
        <v>Гутников Денис</v>
      </c>
      <c r="I38" s="99"/>
      <c r="J38" s="99"/>
      <c r="K38" s="5"/>
      <c r="L38" s="31" t="s">
        <v>56</v>
      </c>
      <c r="M38" s="32"/>
      <c r="N38" s="34"/>
      <c r="O38" s="34"/>
    </row>
    <row r="39" spans="1:15" ht="15" customHeight="1">
      <c r="A39"/>
      <c r="M39" s="34"/>
      <c r="N39" s="32"/>
      <c r="O39" s="32"/>
    </row>
    <row r="40" spans="1:15" ht="15" customHeight="1" thickBot="1">
      <c r="A40"/>
      <c r="B40" s="100" t="s">
        <v>6</v>
      </c>
      <c r="C40" s="100"/>
      <c r="D40" s="100"/>
      <c r="E40" s="100"/>
      <c r="F40" s="100"/>
      <c r="G40" s="100"/>
      <c r="H40" s="100"/>
      <c r="I40" s="100"/>
      <c r="J40" s="100"/>
      <c r="K40" s="100"/>
      <c r="M40" s="34"/>
      <c r="N40" s="32"/>
      <c r="O40" s="32"/>
    </row>
    <row r="41" spans="1:15" ht="15" customHeight="1" thickBot="1">
      <c r="A41"/>
      <c r="B41" s="5"/>
      <c r="C41" s="99"/>
      <c r="D41" s="99"/>
      <c r="E41" s="99"/>
      <c r="F41" s="85"/>
      <c r="G41" s="24"/>
      <c r="H41" s="99"/>
      <c r="I41" s="99"/>
      <c r="J41" s="99"/>
      <c r="K41" s="5"/>
      <c r="L41" s="31"/>
      <c r="M41" s="32"/>
      <c r="N41" s="32"/>
      <c r="O41" s="32"/>
    </row>
    <row r="42" spans="1:15" ht="15" customHeight="1" thickBot="1">
      <c r="A42"/>
      <c r="B42" s="5"/>
      <c r="C42" s="99" t="str">
        <f>C8</f>
        <v>Калякин Максим</v>
      </c>
      <c r="D42" s="99"/>
      <c r="E42" s="99"/>
      <c r="F42" s="85">
        <v>12</v>
      </c>
      <c r="G42" s="24">
        <v>13</v>
      </c>
      <c r="H42" s="99" t="str">
        <f>C4</f>
        <v>Капран-Индаяти Сергей</v>
      </c>
      <c r="I42" s="99"/>
      <c r="J42" s="99"/>
      <c r="K42" s="5"/>
      <c r="L42" s="31" t="s">
        <v>53</v>
      </c>
      <c r="M42" s="32"/>
      <c r="N42" s="32"/>
      <c r="O42" s="32"/>
    </row>
    <row r="43" spans="1:15" ht="15" customHeight="1" thickBot="1">
      <c r="A43"/>
      <c r="B43" s="5"/>
      <c r="C43" s="99" t="str">
        <f>C10</f>
        <v>Лукин Сергей</v>
      </c>
      <c r="D43" s="99"/>
      <c r="E43" s="99"/>
      <c r="F43" s="85">
        <v>13</v>
      </c>
      <c r="G43" s="24">
        <v>9</v>
      </c>
      <c r="H43" s="99" t="str">
        <f>C20</f>
        <v>Грищенко Сергей</v>
      </c>
      <c r="I43" s="99"/>
      <c r="J43" s="99"/>
      <c r="K43" s="5"/>
      <c r="L43" s="31" t="s">
        <v>54</v>
      </c>
      <c r="M43" s="32"/>
      <c r="N43" s="34"/>
      <c r="O43" s="34"/>
    </row>
    <row r="44" spans="1:15" ht="15" customHeight="1" thickBot="1">
      <c r="A44"/>
      <c r="B44" s="5"/>
      <c r="C44" s="99" t="str">
        <f>C12</f>
        <v>Муругов Вадим</v>
      </c>
      <c r="D44" s="99"/>
      <c r="E44" s="99"/>
      <c r="F44" s="85">
        <v>13</v>
      </c>
      <c r="G44" s="24">
        <v>5</v>
      </c>
      <c r="H44" s="99" t="str">
        <f>C18</f>
        <v>Беркман Виталий</v>
      </c>
      <c r="I44" s="99"/>
      <c r="J44" s="99"/>
      <c r="K44" s="5"/>
      <c r="L44" s="31" t="s">
        <v>56</v>
      </c>
      <c r="M44" s="32"/>
      <c r="N44" s="34"/>
      <c r="O44" s="34"/>
    </row>
    <row r="45" spans="1:15" ht="15" customHeight="1" thickBot="1">
      <c r="A45"/>
      <c r="B45" s="5"/>
      <c r="C45" s="99" t="str">
        <f>C14</f>
        <v>Колобков Пётр</v>
      </c>
      <c r="D45" s="99"/>
      <c r="E45" s="99"/>
      <c r="F45" s="85">
        <v>13</v>
      </c>
      <c r="G45" s="24">
        <v>11</v>
      </c>
      <c r="H45" s="99" t="str">
        <f>C16</f>
        <v>Плетнёв Андрей</v>
      </c>
      <c r="I45" s="99"/>
      <c r="J45" s="99"/>
      <c r="K45" s="5"/>
      <c r="L45" s="31" t="s">
        <v>50</v>
      </c>
      <c r="M45" s="32"/>
      <c r="N45" s="32"/>
      <c r="O45" s="32"/>
    </row>
    <row r="46" spans="1:15" ht="15" customHeight="1">
      <c r="A46"/>
      <c r="M46" s="34"/>
      <c r="N46" s="32"/>
      <c r="O46" s="32"/>
    </row>
    <row r="47" spans="1:15" ht="15" customHeight="1" thickBot="1">
      <c r="A47"/>
      <c r="B47" s="100" t="s">
        <v>8</v>
      </c>
      <c r="C47" s="100"/>
      <c r="D47" s="100"/>
      <c r="E47" s="100"/>
      <c r="F47" s="100"/>
      <c r="G47" s="100"/>
      <c r="H47" s="100"/>
      <c r="I47" s="100"/>
      <c r="J47" s="100"/>
      <c r="K47" s="100"/>
      <c r="M47" s="34"/>
      <c r="N47" s="32"/>
      <c r="O47" s="32"/>
    </row>
    <row r="48" spans="1:15" ht="15" customHeight="1" thickBot="1">
      <c r="A48"/>
      <c r="B48" s="5"/>
      <c r="C48" s="99"/>
      <c r="D48" s="99"/>
      <c r="E48" s="99"/>
      <c r="F48" s="85"/>
      <c r="G48" s="24"/>
      <c r="H48" s="99"/>
      <c r="I48" s="99"/>
      <c r="J48" s="99"/>
      <c r="K48" s="5"/>
      <c r="L48" s="31"/>
      <c r="M48" s="32"/>
      <c r="N48" s="32"/>
      <c r="O48" s="32"/>
    </row>
    <row r="49" spans="1:15" ht="15" customHeight="1" thickBot="1">
      <c r="A49"/>
      <c r="B49" s="5"/>
      <c r="C49" s="99" t="str">
        <f>C18</f>
        <v>Беркман Виталий</v>
      </c>
      <c r="D49" s="99"/>
      <c r="E49" s="99"/>
      <c r="F49" s="85">
        <v>13</v>
      </c>
      <c r="G49" s="24">
        <v>12</v>
      </c>
      <c r="H49" s="99" t="str">
        <f>C14</f>
        <v>Колобков Пётр</v>
      </c>
      <c r="I49" s="99"/>
      <c r="J49" s="99"/>
      <c r="K49" s="5"/>
      <c r="L49" s="31" t="s">
        <v>54</v>
      </c>
      <c r="M49" s="32"/>
      <c r="N49" s="34"/>
      <c r="O49" s="34"/>
    </row>
    <row r="50" spans="1:15" ht="15" customHeight="1" thickBot="1">
      <c r="A50"/>
      <c r="B50" s="5"/>
      <c r="C50" s="99" t="str">
        <f>C20</f>
        <v>Грищенко Сергей</v>
      </c>
      <c r="D50" s="99"/>
      <c r="E50" s="99"/>
      <c r="F50" s="85">
        <v>13</v>
      </c>
      <c r="G50" s="24">
        <v>5</v>
      </c>
      <c r="H50" s="99" t="str">
        <f>C12</f>
        <v>Муругов Вадим</v>
      </c>
      <c r="I50" s="99"/>
      <c r="J50" s="99"/>
      <c r="K50" s="5"/>
      <c r="L50" s="31" t="s">
        <v>56</v>
      </c>
      <c r="M50" s="32"/>
      <c r="N50" s="34"/>
      <c r="O50" s="34"/>
    </row>
    <row r="51" spans="1:15" ht="15" customHeight="1" thickBot="1">
      <c r="A51"/>
      <c r="B51" s="5"/>
      <c r="C51" s="99" t="str">
        <f>C4</f>
        <v>Капран-Индаяти Сергей</v>
      </c>
      <c r="D51" s="99"/>
      <c r="E51" s="99"/>
      <c r="F51" s="85">
        <v>3</v>
      </c>
      <c r="G51" s="24">
        <v>13</v>
      </c>
      <c r="H51" s="99" t="str">
        <f>C10</f>
        <v>Лукин Сергей</v>
      </c>
      <c r="I51" s="99"/>
      <c r="J51" s="99"/>
      <c r="K51" s="5"/>
      <c r="L51" s="31" t="s">
        <v>50</v>
      </c>
      <c r="M51" s="32"/>
      <c r="N51" s="32"/>
      <c r="O51" s="32"/>
    </row>
    <row r="52" spans="1:15" ht="15" customHeight="1" thickBot="1">
      <c r="A52"/>
      <c r="B52" s="5"/>
      <c r="C52" s="99" t="str">
        <f>C6</f>
        <v>Гутников Денис</v>
      </c>
      <c r="D52" s="99"/>
      <c r="E52" s="99"/>
      <c r="F52" s="85">
        <v>7</v>
      </c>
      <c r="G52" s="24">
        <v>13</v>
      </c>
      <c r="H52" s="99" t="str">
        <f>C8</f>
        <v>Калякин Максим</v>
      </c>
      <c r="I52" s="99"/>
      <c r="J52" s="99"/>
      <c r="K52" s="5"/>
      <c r="L52" s="31" t="s">
        <v>51</v>
      </c>
      <c r="M52" s="32"/>
      <c r="N52" s="32"/>
      <c r="O52" s="32"/>
    </row>
    <row r="53" spans="1:15" ht="15" customHeight="1">
      <c r="A53"/>
      <c r="M53" s="34"/>
      <c r="N53" s="32"/>
      <c r="O53" s="32"/>
    </row>
    <row r="54" spans="1:15" ht="15" customHeight="1" thickBot="1">
      <c r="A54"/>
      <c r="B54" s="100" t="s">
        <v>9</v>
      </c>
      <c r="C54" s="100"/>
      <c r="D54" s="100"/>
      <c r="E54" s="100"/>
      <c r="F54" s="100"/>
      <c r="G54" s="100"/>
      <c r="H54" s="100"/>
      <c r="I54" s="100"/>
      <c r="J54" s="100"/>
      <c r="K54" s="100"/>
      <c r="M54" s="34"/>
      <c r="N54" s="32"/>
      <c r="O54" s="32"/>
    </row>
    <row r="55" spans="1:15" ht="15" customHeight="1" thickBot="1">
      <c r="A55"/>
      <c r="B55" s="5"/>
      <c r="C55" s="99"/>
      <c r="D55" s="99"/>
      <c r="E55" s="99"/>
      <c r="F55" s="85"/>
      <c r="G55" s="24"/>
      <c r="H55" s="99"/>
      <c r="I55" s="99"/>
      <c r="J55" s="99"/>
      <c r="K55" s="5"/>
      <c r="L55" s="31"/>
      <c r="M55" s="32"/>
      <c r="N55" s="34"/>
      <c r="O55" s="34"/>
    </row>
    <row r="56" spans="1:15" ht="15" customHeight="1" thickBot="1">
      <c r="A56"/>
      <c r="B56" s="5"/>
      <c r="C56" s="99" t="str">
        <f>C10</f>
        <v>Лукин Сергей</v>
      </c>
      <c r="D56" s="99"/>
      <c r="E56" s="99"/>
      <c r="F56" s="85">
        <v>13</v>
      </c>
      <c r="G56" s="24">
        <v>1</v>
      </c>
      <c r="H56" s="99" t="str">
        <f>C6</f>
        <v>Гутников Денис</v>
      </c>
      <c r="I56" s="99"/>
      <c r="J56" s="99"/>
      <c r="K56" s="5"/>
      <c r="L56" s="31" t="s">
        <v>56</v>
      </c>
      <c r="M56" s="32"/>
      <c r="N56" s="34"/>
      <c r="O56" s="34"/>
    </row>
    <row r="57" spans="1:15" ht="15" customHeight="1" thickBot="1">
      <c r="A57"/>
      <c r="B57" s="5"/>
      <c r="C57" s="99" t="str">
        <f>C12</f>
        <v>Муругов Вадим</v>
      </c>
      <c r="D57" s="99"/>
      <c r="E57" s="99"/>
      <c r="F57" s="85">
        <v>13</v>
      </c>
      <c r="G57" s="24">
        <v>5</v>
      </c>
      <c r="H57" s="99" t="str">
        <f>C4</f>
        <v>Капран-Индаяти Сергей</v>
      </c>
      <c r="I57" s="99"/>
      <c r="J57" s="99"/>
      <c r="K57" s="5"/>
      <c r="L57" s="31" t="s">
        <v>50</v>
      </c>
      <c r="M57" s="32"/>
      <c r="N57" s="32"/>
      <c r="O57" s="32"/>
    </row>
    <row r="58" spans="1:15" ht="15" customHeight="1" thickBot="1">
      <c r="A58"/>
      <c r="B58" s="5"/>
      <c r="C58" s="99" t="str">
        <f>C14</f>
        <v>Колобков Пётр</v>
      </c>
      <c r="D58" s="99"/>
      <c r="E58" s="99"/>
      <c r="F58" s="85">
        <v>13</v>
      </c>
      <c r="G58" s="24">
        <v>12</v>
      </c>
      <c r="H58" s="99" t="str">
        <f>C20</f>
        <v>Грищенко Сергей</v>
      </c>
      <c r="I58" s="99"/>
      <c r="J58" s="99"/>
      <c r="K58" s="5"/>
      <c r="L58" s="31" t="s">
        <v>51</v>
      </c>
      <c r="M58" s="32"/>
      <c r="N58" s="32"/>
      <c r="O58" s="32"/>
    </row>
    <row r="59" spans="1:15" ht="15" customHeight="1" thickBot="1">
      <c r="A59"/>
      <c r="B59" s="5"/>
      <c r="C59" s="99" t="str">
        <f>C16</f>
        <v>Плетнёв Андрей</v>
      </c>
      <c r="D59" s="99"/>
      <c r="E59" s="99"/>
      <c r="F59" s="85">
        <v>13</v>
      </c>
      <c r="G59" s="24">
        <v>5</v>
      </c>
      <c r="H59" s="99" t="str">
        <f>C18</f>
        <v>Беркман Виталий</v>
      </c>
      <c r="I59" s="99"/>
      <c r="J59" s="99"/>
      <c r="K59" s="5"/>
      <c r="L59" s="31" t="s">
        <v>52</v>
      </c>
      <c r="M59" s="32"/>
      <c r="N59" s="32"/>
      <c r="O59" s="32"/>
    </row>
    <row r="60" spans="1:15" ht="15" customHeight="1">
      <c r="A60"/>
      <c r="M60" s="34"/>
      <c r="N60" s="32"/>
      <c r="O60" s="32"/>
    </row>
    <row r="61" spans="1:15" ht="15" customHeight="1" thickBot="1">
      <c r="A61"/>
      <c r="B61" s="100" t="s">
        <v>12</v>
      </c>
      <c r="C61" s="100"/>
      <c r="D61" s="100"/>
      <c r="E61" s="100"/>
      <c r="F61" s="100"/>
      <c r="G61" s="100"/>
      <c r="H61" s="100"/>
      <c r="I61" s="100"/>
      <c r="J61" s="100"/>
      <c r="K61" s="100"/>
      <c r="M61" s="34"/>
    </row>
    <row r="62" spans="1:15" ht="15" customHeight="1" thickBot="1">
      <c r="A62"/>
      <c r="B62" s="5"/>
      <c r="C62" s="99"/>
      <c r="D62" s="99"/>
      <c r="E62" s="99"/>
      <c r="F62" s="85"/>
      <c r="G62" s="24"/>
      <c r="H62" s="99"/>
      <c r="I62" s="99"/>
      <c r="J62" s="99"/>
      <c r="K62" s="5"/>
      <c r="L62" s="31"/>
      <c r="M62" s="86"/>
    </row>
    <row r="63" spans="1:15" ht="15" customHeight="1" thickBot="1">
      <c r="A63"/>
      <c r="B63" s="5"/>
      <c r="C63" s="99" t="str">
        <f>C20</f>
        <v>Грищенко Сергей</v>
      </c>
      <c r="D63" s="99"/>
      <c r="E63" s="99"/>
      <c r="F63" s="85">
        <v>13</v>
      </c>
      <c r="G63" s="24">
        <v>7</v>
      </c>
      <c r="H63" s="99" t="str">
        <f>C16</f>
        <v>Плетнёв Андрей</v>
      </c>
      <c r="I63" s="99"/>
      <c r="J63" s="99"/>
      <c r="K63" s="5"/>
      <c r="L63" s="31" t="s">
        <v>50</v>
      </c>
      <c r="M63" s="86"/>
    </row>
    <row r="64" spans="1:15" ht="15" customHeight="1" thickBot="1">
      <c r="A64"/>
      <c r="B64" s="5"/>
      <c r="C64" s="99" t="str">
        <f>C4</f>
        <v>Капран-Индаяти Сергей</v>
      </c>
      <c r="D64" s="99"/>
      <c r="E64" s="99"/>
      <c r="F64" s="85">
        <v>13</v>
      </c>
      <c r="G64" s="24">
        <v>5</v>
      </c>
      <c r="H64" s="99" t="str">
        <f>C14</f>
        <v>Колобков Пётр</v>
      </c>
      <c r="I64" s="99"/>
      <c r="J64" s="99"/>
      <c r="K64" s="5"/>
      <c r="L64" s="31" t="s">
        <v>51</v>
      </c>
      <c r="M64" s="86"/>
    </row>
    <row r="65" spans="1:13" ht="15" customHeight="1" thickBot="1">
      <c r="A65"/>
      <c r="B65" s="5"/>
      <c r="C65" s="99" t="str">
        <f>C6</f>
        <v>Гутников Денис</v>
      </c>
      <c r="D65" s="99"/>
      <c r="E65" s="99"/>
      <c r="F65" s="85">
        <v>13</v>
      </c>
      <c r="G65" s="24">
        <v>11</v>
      </c>
      <c r="H65" s="99" t="str">
        <f>C12</f>
        <v>Муругов Вадим</v>
      </c>
      <c r="I65" s="99"/>
      <c r="J65" s="99"/>
      <c r="K65" s="5"/>
      <c r="L65" s="31" t="s">
        <v>52</v>
      </c>
      <c r="M65" s="86"/>
    </row>
    <row r="66" spans="1:13" ht="15" customHeight="1" thickBot="1">
      <c r="A66"/>
      <c r="B66" s="5"/>
      <c r="C66" s="99" t="str">
        <f>C8</f>
        <v>Калякин Максим</v>
      </c>
      <c r="D66" s="99"/>
      <c r="E66" s="99"/>
      <c r="F66" s="85">
        <v>13</v>
      </c>
      <c r="G66" s="24">
        <v>7</v>
      </c>
      <c r="H66" s="99" t="str">
        <f>C10</f>
        <v>Лукин Сергей</v>
      </c>
      <c r="I66" s="99"/>
      <c r="J66" s="99"/>
      <c r="K66" s="5"/>
      <c r="L66" s="31" t="s">
        <v>53</v>
      </c>
      <c r="M66" s="86"/>
    </row>
    <row r="67" spans="1:13" ht="15" customHeight="1">
      <c r="A67"/>
    </row>
    <row r="68" spans="1:13" ht="15" customHeight="1" thickBot="1">
      <c r="A68"/>
      <c r="B68" s="100" t="s">
        <v>13</v>
      </c>
      <c r="C68" s="100"/>
      <c r="D68" s="100"/>
      <c r="E68" s="100"/>
      <c r="F68" s="100"/>
      <c r="G68" s="100"/>
      <c r="H68" s="100"/>
      <c r="I68" s="100"/>
      <c r="J68" s="100"/>
      <c r="K68" s="100"/>
    </row>
    <row r="69" spans="1:13" ht="15" customHeight="1" thickBot="1">
      <c r="A69"/>
      <c r="B69" s="5"/>
      <c r="C69" s="99"/>
      <c r="D69" s="99"/>
      <c r="E69" s="99"/>
      <c r="F69" s="85"/>
      <c r="G69" s="24"/>
      <c r="H69" s="99"/>
      <c r="I69" s="99"/>
      <c r="J69" s="99"/>
      <c r="K69" s="5"/>
      <c r="L69" s="31"/>
    </row>
    <row r="70" spans="1:13" ht="15" customHeight="1" thickBot="1">
      <c r="A70"/>
      <c r="B70" s="5"/>
      <c r="C70" s="99" t="str">
        <f>C12</f>
        <v>Муругов Вадим</v>
      </c>
      <c r="D70" s="99"/>
      <c r="E70" s="99"/>
      <c r="F70" s="85">
        <v>10</v>
      </c>
      <c r="G70" s="24">
        <v>13</v>
      </c>
      <c r="H70" s="99" t="str">
        <f>C8</f>
        <v>Калякин Максим</v>
      </c>
      <c r="I70" s="99"/>
      <c r="J70" s="99"/>
      <c r="K70" s="5"/>
      <c r="L70" s="31" t="s">
        <v>51</v>
      </c>
    </row>
    <row r="71" spans="1:13" ht="15" customHeight="1" thickBot="1">
      <c r="A71"/>
      <c r="B71" s="5"/>
      <c r="C71" s="99" t="str">
        <f>C14</f>
        <v>Колобков Пётр</v>
      </c>
      <c r="D71" s="99"/>
      <c r="E71" s="99"/>
      <c r="F71" s="85">
        <v>4</v>
      </c>
      <c r="G71" s="24">
        <v>13</v>
      </c>
      <c r="H71" s="99" t="str">
        <f>C6</f>
        <v>Гутников Денис</v>
      </c>
      <c r="I71" s="99"/>
      <c r="J71" s="99"/>
      <c r="K71" s="5"/>
      <c r="L71" s="31" t="s">
        <v>52</v>
      </c>
    </row>
    <row r="72" spans="1:13" ht="15" customHeight="1" thickBot="1">
      <c r="A72"/>
      <c r="B72" s="5"/>
      <c r="C72" s="99" t="str">
        <f>C16</f>
        <v>Плетнёв Андрей</v>
      </c>
      <c r="D72" s="99"/>
      <c r="E72" s="99"/>
      <c r="F72" s="85">
        <v>1</v>
      </c>
      <c r="G72" s="24">
        <v>13</v>
      </c>
      <c r="H72" s="99" t="str">
        <f>C4</f>
        <v>Капран-Индаяти Сергей</v>
      </c>
      <c r="I72" s="99"/>
      <c r="J72" s="99"/>
      <c r="K72" s="5"/>
      <c r="L72" s="31" t="s">
        <v>53</v>
      </c>
    </row>
    <row r="73" spans="1:13" ht="15" customHeight="1" thickBot="1">
      <c r="A73"/>
      <c r="B73" s="5"/>
      <c r="C73" s="99" t="str">
        <f>C18</f>
        <v>Беркман Виталий</v>
      </c>
      <c r="D73" s="99"/>
      <c r="E73" s="99"/>
      <c r="F73" s="85">
        <v>5</v>
      </c>
      <c r="G73" s="24">
        <v>13</v>
      </c>
      <c r="H73" s="99" t="str">
        <f>C20</f>
        <v>Грищенко Сергей</v>
      </c>
      <c r="I73" s="99"/>
      <c r="J73" s="99"/>
      <c r="K73" s="5"/>
      <c r="L73" s="31" t="s">
        <v>54</v>
      </c>
    </row>
    <row r="74" spans="1:13" ht="15" customHeight="1">
      <c r="A74"/>
    </row>
    <row r="75" spans="1:13" ht="15" customHeight="1" thickBot="1">
      <c r="A75"/>
      <c r="B75" s="100" t="s">
        <v>57</v>
      </c>
      <c r="C75" s="100"/>
      <c r="D75" s="100"/>
      <c r="E75" s="100"/>
      <c r="F75" s="100"/>
      <c r="G75" s="100"/>
      <c r="H75" s="100"/>
      <c r="I75" s="100"/>
      <c r="J75" s="100"/>
      <c r="K75" s="100"/>
    </row>
    <row r="76" spans="1:13" ht="15" customHeight="1" thickBot="1">
      <c r="A76"/>
      <c r="B76" s="5"/>
      <c r="C76" s="99"/>
      <c r="D76" s="99"/>
      <c r="E76" s="99"/>
      <c r="F76" s="85"/>
      <c r="G76" s="24"/>
      <c r="H76" s="99"/>
      <c r="I76" s="99"/>
      <c r="J76" s="99"/>
      <c r="K76" s="5"/>
      <c r="L76" s="31"/>
    </row>
    <row r="77" spans="1:13" ht="15" customHeight="1" thickBot="1">
      <c r="A77"/>
      <c r="B77" s="5"/>
      <c r="C77" s="99" t="str">
        <f>C4</f>
        <v>Капран-Индаяти Сергей</v>
      </c>
      <c r="D77" s="99"/>
      <c r="E77" s="99"/>
      <c r="F77" s="85">
        <v>13</v>
      </c>
      <c r="G77" s="24">
        <v>3</v>
      </c>
      <c r="H77" s="99" t="str">
        <f>C18</f>
        <v>Беркман Виталий</v>
      </c>
      <c r="I77" s="99"/>
      <c r="J77" s="99"/>
      <c r="K77" s="5"/>
      <c r="L77" s="31" t="s">
        <v>52</v>
      </c>
    </row>
    <row r="78" spans="1:13" ht="15" customHeight="1" thickBot="1">
      <c r="A78"/>
      <c r="B78" s="5"/>
      <c r="C78" s="99" t="str">
        <f>C6</f>
        <v>Гутников Денис</v>
      </c>
      <c r="D78" s="99"/>
      <c r="E78" s="99"/>
      <c r="F78" s="85">
        <v>12</v>
      </c>
      <c r="G78" s="24">
        <v>13</v>
      </c>
      <c r="H78" s="99" t="str">
        <f>C16</f>
        <v>Плетнёв Андрей</v>
      </c>
      <c r="I78" s="99"/>
      <c r="J78" s="99"/>
      <c r="K78" s="5"/>
      <c r="L78" s="31" t="s">
        <v>53</v>
      </c>
    </row>
    <row r="79" spans="1:13" ht="15" customHeight="1" thickBot="1">
      <c r="A79"/>
      <c r="B79" s="5"/>
      <c r="C79" s="99" t="str">
        <f>C8</f>
        <v>Калякин Максим</v>
      </c>
      <c r="D79" s="99"/>
      <c r="E79" s="99"/>
      <c r="F79" s="85">
        <v>13</v>
      </c>
      <c r="G79" s="24">
        <v>2</v>
      </c>
      <c r="H79" s="99" t="str">
        <f>C14</f>
        <v>Колобков Пётр</v>
      </c>
      <c r="I79" s="99"/>
      <c r="J79" s="99"/>
      <c r="K79" s="5"/>
      <c r="L79" s="31" t="s">
        <v>54</v>
      </c>
    </row>
    <row r="80" spans="1:13" ht="15" customHeight="1" thickBot="1">
      <c r="A80"/>
      <c r="B80" s="5"/>
      <c r="C80" s="99" t="str">
        <f>C10</f>
        <v>Лукин Сергей</v>
      </c>
      <c r="D80" s="99"/>
      <c r="E80" s="99"/>
      <c r="F80" s="85">
        <v>5</v>
      </c>
      <c r="G80" s="24">
        <v>13</v>
      </c>
      <c r="H80" s="99" t="str">
        <f>C12</f>
        <v>Муругов Вадим</v>
      </c>
      <c r="I80" s="99"/>
      <c r="J80" s="99"/>
      <c r="K80" s="5"/>
      <c r="L80" s="31" t="s">
        <v>56</v>
      </c>
    </row>
    <row r="81" spans="1:12" ht="15" customHeight="1">
      <c r="A81"/>
    </row>
    <row r="82" spans="1:12" ht="15" customHeight="1" thickBot="1">
      <c r="A82"/>
      <c r="B82" s="100" t="s">
        <v>58</v>
      </c>
      <c r="C82" s="100"/>
      <c r="D82" s="100"/>
      <c r="E82" s="100"/>
      <c r="F82" s="100"/>
      <c r="G82" s="100"/>
      <c r="H82" s="100"/>
      <c r="I82" s="100"/>
      <c r="J82" s="100"/>
      <c r="K82" s="100"/>
    </row>
    <row r="83" spans="1:12" ht="15" customHeight="1" thickBot="1">
      <c r="A83"/>
      <c r="B83" s="5"/>
      <c r="C83" s="99"/>
      <c r="D83" s="99"/>
      <c r="E83" s="99"/>
      <c r="F83" s="85"/>
      <c r="G83" s="24"/>
      <c r="H83" s="99"/>
      <c r="I83" s="99"/>
      <c r="J83" s="99"/>
      <c r="K83" s="5"/>
      <c r="L83" s="31"/>
    </row>
    <row r="84" spans="1:12" ht="15" customHeight="1" thickBot="1">
      <c r="A84"/>
      <c r="B84" s="5"/>
      <c r="C84" s="99" t="str">
        <f>C14</f>
        <v>Колобков Пётр</v>
      </c>
      <c r="D84" s="99"/>
      <c r="E84" s="99"/>
      <c r="F84" s="85">
        <v>1</v>
      </c>
      <c r="G84" s="24">
        <v>13</v>
      </c>
      <c r="H84" s="99" t="str">
        <f>C10</f>
        <v>Лукин Сергей</v>
      </c>
      <c r="I84" s="99"/>
      <c r="J84" s="99"/>
      <c r="K84" s="5"/>
      <c r="L84" s="31" t="s">
        <v>53</v>
      </c>
    </row>
    <row r="85" spans="1:12" ht="15" customHeight="1" thickBot="1">
      <c r="A85"/>
      <c r="B85" s="5"/>
      <c r="C85" s="99" t="str">
        <f>C16</f>
        <v>Плетнёв Андрей</v>
      </c>
      <c r="D85" s="99"/>
      <c r="E85" s="99"/>
      <c r="F85" s="85">
        <v>2</v>
      </c>
      <c r="G85" s="24">
        <v>13</v>
      </c>
      <c r="H85" s="99" t="str">
        <f>C8</f>
        <v>Калякин Максим</v>
      </c>
      <c r="I85" s="99"/>
      <c r="J85" s="99"/>
      <c r="K85" s="5"/>
      <c r="L85" s="31" t="s">
        <v>54</v>
      </c>
    </row>
    <row r="86" spans="1:12" ht="15" customHeight="1" thickBot="1">
      <c r="A86"/>
      <c r="B86" s="5"/>
      <c r="C86" s="99" t="str">
        <f>C18</f>
        <v>Беркман Виталий</v>
      </c>
      <c r="D86" s="99"/>
      <c r="E86" s="99"/>
      <c r="F86" s="85">
        <v>7</v>
      </c>
      <c r="G86" s="24">
        <v>13</v>
      </c>
      <c r="H86" s="99" t="str">
        <f>C6</f>
        <v>Гутников Денис</v>
      </c>
      <c r="I86" s="99"/>
      <c r="J86" s="99"/>
      <c r="K86" s="5"/>
      <c r="L86" s="31" t="s">
        <v>56</v>
      </c>
    </row>
    <row r="87" spans="1:12" ht="15" customHeight="1" thickBot="1">
      <c r="A87"/>
      <c r="B87" s="5"/>
      <c r="C87" s="99" t="str">
        <f>C20</f>
        <v>Грищенко Сергей</v>
      </c>
      <c r="D87" s="99"/>
      <c r="E87" s="99"/>
      <c r="F87" s="85">
        <v>7</v>
      </c>
      <c r="G87" s="24">
        <v>13</v>
      </c>
      <c r="H87" s="99" t="str">
        <f>C4</f>
        <v>Капран-Индаяти Сергей</v>
      </c>
      <c r="I87" s="99"/>
      <c r="J87" s="99"/>
      <c r="K87" s="5"/>
      <c r="L87" s="31" t="s">
        <v>50</v>
      </c>
    </row>
    <row r="88" spans="1:12">
      <c r="A88"/>
    </row>
    <row r="90" spans="1:12" ht="21">
      <c r="C90" s="39"/>
      <c r="D90" s="50" t="s">
        <v>17</v>
      </c>
      <c r="E90" s="50"/>
      <c r="F90" s="50"/>
      <c r="G90" s="50"/>
      <c r="H90" s="50"/>
      <c r="I90" s="50"/>
      <c r="J90" s="51"/>
    </row>
    <row r="91" spans="1:12" ht="21">
      <c r="C91" s="39"/>
      <c r="D91" s="50"/>
      <c r="E91" s="50"/>
      <c r="F91" s="50"/>
      <c r="G91" s="50"/>
      <c r="H91" s="50"/>
      <c r="I91" s="50"/>
      <c r="J91" s="51"/>
    </row>
    <row r="92" spans="1:12" ht="21">
      <c r="C92" s="39"/>
      <c r="D92" s="50"/>
      <c r="E92" s="50"/>
      <c r="F92" s="50"/>
      <c r="G92" s="50"/>
      <c r="H92" s="50"/>
      <c r="I92" s="50"/>
      <c r="J92" s="51"/>
    </row>
    <row r="93" spans="1:12" ht="21">
      <c r="C93" s="39"/>
      <c r="D93" s="50" t="s">
        <v>33</v>
      </c>
      <c r="E93" s="50"/>
      <c r="F93" s="50"/>
      <c r="G93" s="50"/>
      <c r="H93" s="50"/>
      <c r="I93" s="50"/>
      <c r="J93" s="51"/>
    </row>
  </sheetData>
  <sheetCalcPr fullCalcOnLoad="1"/>
  <mergeCells count="143">
    <mergeCell ref="B14:B15"/>
    <mergeCell ref="H31:J31"/>
    <mergeCell ref="B40:K40"/>
    <mergeCell ref="H38:J38"/>
    <mergeCell ref="C34:E34"/>
    <mergeCell ref="H34:J34"/>
    <mergeCell ref="C14:E15"/>
    <mergeCell ref="H27:J27"/>
    <mergeCell ref="C29:E29"/>
    <mergeCell ref="C22:E23"/>
    <mergeCell ref="H24:J24"/>
    <mergeCell ref="C38:E38"/>
    <mergeCell ref="B26:K26"/>
    <mergeCell ref="C27:E27"/>
    <mergeCell ref="C35:E35"/>
    <mergeCell ref="H35:J35"/>
    <mergeCell ref="C37:E37"/>
    <mergeCell ref="H37:J37"/>
    <mergeCell ref="C28:E28"/>
    <mergeCell ref="B10:B11"/>
    <mergeCell ref="B1:R1"/>
    <mergeCell ref="B8:B9"/>
    <mergeCell ref="C8:E9"/>
    <mergeCell ref="P8:P9"/>
    <mergeCell ref="R8:R9"/>
    <mergeCell ref="C4:E5"/>
    <mergeCell ref="R4:R5"/>
    <mergeCell ref="R6:R7"/>
    <mergeCell ref="C3:E3"/>
    <mergeCell ref="B12:B13"/>
    <mergeCell ref="C24:E24"/>
    <mergeCell ref="B6:B7"/>
    <mergeCell ref="B4:B5"/>
    <mergeCell ref="B16:B17"/>
    <mergeCell ref="B22:B23"/>
    <mergeCell ref="B20:B21"/>
    <mergeCell ref="B18:B19"/>
    <mergeCell ref="C6:E7"/>
    <mergeCell ref="C10:E11"/>
    <mergeCell ref="P10:P11"/>
    <mergeCell ref="P4:P5"/>
    <mergeCell ref="P6:P7"/>
    <mergeCell ref="R12:R13"/>
    <mergeCell ref="R18:R19"/>
    <mergeCell ref="R14:R15"/>
    <mergeCell ref="R10:R11"/>
    <mergeCell ref="R16:R17"/>
    <mergeCell ref="P12:P13"/>
    <mergeCell ref="P22:P23"/>
    <mergeCell ref="P20:P21"/>
    <mergeCell ref="P18:P19"/>
    <mergeCell ref="P14:P15"/>
    <mergeCell ref="C16:E17"/>
    <mergeCell ref="C12:E13"/>
    <mergeCell ref="P16:P17"/>
    <mergeCell ref="C20:E21"/>
    <mergeCell ref="B68:K68"/>
    <mergeCell ref="C69:E69"/>
    <mergeCell ref="H69:J69"/>
    <mergeCell ref="R22:R23"/>
    <mergeCell ref="R20:R21"/>
    <mergeCell ref="C18:E19"/>
    <mergeCell ref="C49:E49"/>
    <mergeCell ref="H49:J49"/>
    <mergeCell ref="H30:J30"/>
    <mergeCell ref="C30:E30"/>
    <mergeCell ref="H45:J45"/>
    <mergeCell ref="H28:J28"/>
    <mergeCell ref="C36:E36"/>
    <mergeCell ref="H36:J36"/>
    <mergeCell ref="H29:J29"/>
    <mergeCell ref="H65:J65"/>
    <mergeCell ref="H43:J43"/>
    <mergeCell ref="B33:K33"/>
    <mergeCell ref="C31:E31"/>
    <mergeCell ref="C42:E42"/>
    <mergeCell ref="C48:E48"/>
    <mergeCell ref="H48:J48"/>
    <mergeCell ref="H41:J41"/>
    <mergeCell ref="H42:J42"/>
    <mergeCell ref="C44:E44"/>
    <mergeCell ref="C41:E41"/>
    <mergeCell ref="H44:J44"/>
    <mergeCell ref="C43:E43"/>
    <mergeCell ref="C45:E45"/>
    <mergeCell ref="B47:K47"/>
    <mergeCell ref="H52:J52"/>
    <mergeCell ref="C87:E87"/>
    <mergeCell ref="H87:J87"/>
    <mergeCell ref="C83:E83"/>
    <mergeCell ref="H83:J83"/>
    <mergeCell ref="C85:E85"/>
    <mergeCell ref="H85:J85"/>
    <mergeCell ref="C86:E86"/>
    <mergeCell ref="H86:J86"/>
    <mergeCell ref="C84:E84"/>
    <mergeCell ref="B75:K75"/>
    <mergeCell ref="C59:E59"/>
    <mergeCell ref="C56:E56"/>
    <mergeCell ref="H56:J56"/>
    <mergeCell ref="C51:E51"/>
    <mergeCell ref="H51:J51"/>
    <mergeCell ref="B54:K54"/>
    <mergeCell ref="C55:E55"/>
    <mergeCell ref="H55:J55"/>
    <mergeCell ref="C52:E52"/>
    <mergeCell ref="H79:J79"/>
    <mergeCell ref="C80:E80"/>
    <mergeCell ref="H80:J80"/>
    <mergeCell ref="H84:J84"/>
    <mergeCell ref="B82:K82"/>
    <mergeCell ref="H72:J72"/>
    <mergeCell ref="C73:E73"/>
    <mergeCell ref="H73:J73"/>
    <mergeCell ref="C76:E76"/>
    <mergeCell ref="H76:J76"/>
    <mergeCell ref="C50:E50"/>
    <mergeCell ref="H50:J50"/>
    <mergeCell ref="C63:E63"/>
    <mergeCell ref="H63:J63"/>
    <mergeCell ref="C57:E57"/>
    <mergeCell ref="H57:J57"/>
    <mergeCell ref="C58:E58"/>
    <mergeCell ref="H58:J58"/>
    <mergeCell ref="B61:K61"/>
    <mergeCell ref="H59:J59"/>
    <mergeCell ref="C62:E62"/>
    <mergeCell ref="H62:J62"/>
    <mergeCell ref="C66:E66"/>
    <mergeCell ref="H66:J66"/>
    <mergeCell ref="C64:E64"/>
    <mergeCell ref="H64:J64"/>
    <mergeCell ref="C65:E65"/>
    <mergeCell ref="C78:E78"/>
    <mergeCell ref="H78:J78"/>
    <mergeCell ref="C79:E79"/>
    <mergeCell ref="C70:E70"/>
    <mergeCell ref="H70:J70"/>
    <mergeCell ref="C71:E71"/>
    <mergeCell ref="H71:J71"/>
    <mergeCell ref="C77:E77"/>
    <mergeCell ref="H77:J77"/>
    <mergeCell ref="C72:E72"/>
  </mergeCells>
  <phoneticPr fontId="16" type="noConversion"/>
  <printOptions horizontalCentered="1"/>
  <pageMargins left="0.31496062992125984" right="0.31496062992125984" top="0.35433070866141736" bottom="0.55118110236220474" header="0.31496062992125984" footer="0.31496062992125984"/>
  <pageSetup paperSize="9" scale="50" orientation="portrait" horizontalDpi="4294967293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FFC000"/>
  </sheetPr>
  <dimension ref="A1:K25"/>
  <sheetViews>
    <sheetView zoomScaleNormal="100" workbookViewId="0">
      <selection activeCell="F17" sqref="F17"/>
    </sheetView>
  </sheetViews>
  <sheetFormatPr defaultRowHeight="15"/>
  <cols>
    <col min="2" max="2" width="23.42578125" customWidth="1"/>
    <col min="3" max="3" width="22.42578125" customWidth="1"/>
    <col min="4" max="4" width="36.7109375" customWidth="1"/>
  </cols>
  <sheetData>
    <row r="1" spans="1:11" ht="54" customHeight="1">
      <c r="A1" s="120" t="s">
        <v>18</v>
      </c>
      <c r="B1" s="120"/>
      <c r="C1" s="120"/>
      <c r="D1" s="120"/>
      <c r="E1" s="52"/>
      <c r="F1" s="52"/>
      <c r="G1" s="52"/>
      <c r="H1" s="52"/>
      <c r="I1" s="52"/>
      <c r="J1" s="52"/>
      <c r="K1" s="52"/>
    </row>
    <row r="2" spans="1:11" ht="102" customHeight="1">
      <c r="A2" s="121" t="s">
        <v>92</v>
      </c>
      <c r="B2" s="121"/>
      <c r="C2" s="121"/>
      <c r="D2" s="121"/>
      <c r="E2" s="53"/>
      <c r="F2" s="53"/>
      <c r="G2" s="54"/>
      <c r="H2" s="54"/>
      <c r="I2" s="54"/>
      <c r="J2" s="54"/>
    </row>
    <row r="3" spans="1:11" ht="15.75" thickBot="1"/>
    <row r="4" spans="1:11">
      <c r="A4" s="55" t="s">
        <v>19</v>
      </c>
      <c r="B4" s="56" t="s">
        <v>20</v>
      </c>
      <c r="C4" s="57" t="s">
        <v>21</v>
      </c>
      <c r="D4" s="58" t="s">
        <v>22</v>
      </c>
      <c r="G4" s="68"/>
      <c r="H4" s="68"/>
      <c r="I4" s="68"/>
      <c r="J4" s="68"/>
      <c r="K4" s="68"/>
    </row>
    <row r="5" spans="1:11">
      <c r="A5" s="59">
        <v>1</v>
      </c>
      <c r="B5" s="60" t="s">
        <v>37</v>
      </c>
      <c r="C5" s="61" t="s">
        <v>23</v>
      </c>
      <c r="D5" s="62">
        <v>20</v>
      </c>
      <c r="G5" s="68"/>
      <c r="H5" s="68"/>
      <c r="I5" s="68"/>
      <c r="J5" s="68"/>
      <c r="K5" s="68"/>
    </row>
    <row r="6" spans="1:11">
      <c r="A6" s="59">
        <v>1</v>
      </c>
      <c r="B6" s="60" t="s">
        <v>38</v>
      </c>
      <c r="C6" s="61" t="s">
        <v>23</v>
      </c>
      <c r="D6" s="62">
        <v>20</v>
      </c>
      <c r="G6" s="68"/>
      <c r="H6" s="68"/>
      <c r="I6" s="68"/>
      <c r="J6" s="68"/>
      <c r="K6" s="68"/>
    </row>
    <row r="7" spans="1:11">
      <c r="A7" s="59">
        <v>2</v>
      </c>
      <c r="B7" s="60" t="s">
        <v>16</v>
      </c>
      <c r="C7" s="61" t="s">
        <v>25</v>
      </c>
      <c r="D7" s="62">
        <v>17</v>
      </c>
      <c r="G7" s="68"/>
      <c r="H7" s="68"/>
      <c r="I7" s="68"/>
      <c r="J7" s="68"/>
      <c r="K7" s="68"/>
    </row>
    <row r="8" spans="1:11">
      <c r="A8" s="59">
        <v>2</v>
      </c>
      <c r="B8" s="60" t="s">
        <v>39</v>
      </c>
      <c r="C8" s="61" t="s">
        <v>40</v>
      </c>
      <c r="D8" s="62">
        <v>17</v>
      </c>
      <c r="G8" s="68"/>
      <c r="H8" s="68"/>
      <c r="I8" s="68"/>
      <c r="J8" s="68"/>
      <c r="K8" s="68"/>
    </row>
    <row r="9" spans="1:11">
      <c r="A9" s="59">
        <v>3</v>
      </c>
      <c r="B9" s="60" t="s">
        <v>41</v>
      </c>
      <c r="C9" s="61" t="s">
        <v>40</v>
      </c>
      <c r="D9" s="62">
        <v>15</v>
      </c>
      <c r="G9" s="68"/>
      <c r="H9" s="68"/>
      <c r="I9" s="68"/>
      <c r="J9" s="68"/>
      <c r="K9" s="68"/>
    </row>
    <row r="10" spans="1:11">
      <c r="A10" s="59">
        <v>3</v>
      </c>
      <c r="B10" s="60" t="s">
        <v>15</v>
      </c>
      <c r="C10" s="61" t="s">
        <v>24</v>
      </c>
      <c r="D10" s="62">
        <v>15</v>
      </c>
      <c r="G10" s="68"/>
      <c r="H10" s="68"/>
      <c r="I10" s="68"/>
      <c r="J10" s="68"/>
      <c r="K10" s="68"/>
    </row>
    <row r="11" spans="1:11">
      <c r="A11" s="59">
        <v>4</v>
      </c>
      <c r="B11" s="60" t="s">
        <v>43</v>
      </c>
      <c r="C11" s="61" t="s">
        <v>42</v>
      </c>
      <c r="D11" s="62">
        <v>14</v>
      </c>
      <c r="G11" s="68"/>
      <c r="H11" s="68"/>
      <c r="I11" s="68"/>
      <c r="J11" s="68"/>
      <c r="K11" s="68"/>
    </row>
    <row r="12" spans="1:11">
      <c r="A12" s="59">
        <v>4</v>
      </c>
      <c r="B12" s="60" t="s">
        <v>44</v>
      </c>
      <c r="C12" s="61" t="s">
        <v>42</v>
      </c>
      <c r="D12" s="62">
        <v>14</v>
      </c>
      <c r="G12" s="68"/>
      <c r="H12" s="68"/>
      <c r="I12" s="68"/>
      <c r="J12" s="68"/>
      <c r="K12" s="68"/>
    </row>
    <row r="13" spans="1:11">
      <c r="A13" s="59">
        <v>5</v>
      </c>
      <c r="B13" s="60" t="s">
        <v>45</v>
      </c>
      <c r="C13" s="61" t="s">
        <v>40</v>
      </c>
      <c r="D13" s="62">
        <v>13</v>
      </c>
      <c r="G13" s="68"/>
      <c r="H13" s="68"/>
      <c r="I13" s="68"/>
      <c r="J13" s="68"/>
      <c r="K13" s="68"/>
    </row>
    <row r="14" spans="1:11">
      <c r="A14" s="59">
        <v>5</v>
      </c>
      <c r="B14" s="60" t="s">
        <v>46</v>
      </c>
      <c r="C14" s="61" t="s">
        <v>40</v>
      </c>
      <c r="D14" s="62">
        <v>13</v>
      </c>
      <c r="G14" s="68"/>
      <c r="H14" s="68"/>
      <c r="I14" s="68"/>
      <c r="J14" s="68"/>
      <c r="K14" s="68"/>
    </row>
    <row r="15" spans="1:11">
      <c r="A15" s="59">
        <v>6</v>
      </c>
      <c r="B15" s="60" t="s">
        <v>47</v>
      </c>
      <c r="C15" s="70" t="s">
        <v>40</v>
      </c>
      <c r="D15" s="62">
        <v>12</v>
      </c>
      <c r="G15" s="68"/>
      <c r="H15" s="68"/>
      <c r="I15" s="68"/>
      <c r="J15" s="68"/>
      <c r="K15" s="68"/>
    </row>
    <row r="16" spans="1:11" ht="15.75" thickBot="1">
      <c r="A16" s="63">
        <v>6</v>
      </c>
      <c r="B16" s="64" t="s">
        <v>48</v>
      </c>
      <c r="C16" s="74" t="s">
        <v>40</v>
      </c>
      <c r="D16" s="66">
        <v>12</v>
      </c>
      <c r="G16" s="68"/>
      <c r="H16" s="68"/>
      <c r="I16" s="68"/>
      <c r="J16" s="68"/>
      <c r="K16" s="68"/>
    </row>
    <row r="17" spans="1:8">
      <c r="A17" s="72"/>
      <c r="B17" s="68"/>
      <c r="C17" s="68"/>
      <c r="D17" s="73"/>
      <c r="E17" s="68"/>
    </row>
    <row r="18" spans="1:8">
      <c r="A18" s="39"/>
    </row>
    <row r="19" spans="1:8" ht="21">
      <c r="A19" s="39"/>
      <c r="B19" s="50" t="s">
        <v>17</v>
      </c>
      <c r="C19" s="50"/>
      <c r="D19" s="50"/>
      <c r="E19" s="50"/>
      <c r="F19" s="50"/>
      <c r="G19" s="50"/>
      <c r="H19" s="51"/>
    </row>
    <row r="20" spans="1:8" ht="21">
      <c r="A20" s="39"/>
      <c r="B20" s="50"/>
      <c r="C20" s="50"/>
      <c r="D20" s="50"/>
      <c r="E20" s="50"/>
      <c r="F20" s="50"/>
      <c r="G20" s="50"/>
      <c r="H20" s="51"/>
    </row>
    <row r="21" spans="1:8" ht="21">
      <c r="A21" s="39"/>
      <c r="B21" s="50"/>
      <c r="C21" s="50"/>
      <c r="D21" s="50"/>
      <c r="E21" s="50"/>
      <c r="F21" s="50"/>
      <c r="G21" s="50"/>
      <c r="H21" s="51"/>
    </row>
    <row r="22" spans="1:8" ht="21">
      <c r="A22" s="39"/>
      <c r="B22" s="50" t="s">
        <v>33</v>
      </c>
      <c r="C22" s="50"/>
      <c r="D22" s="50"/>
      <c r="E22" s="50"/>
      <c r="F22" s="50"/>
      <c r="G22" s="50"/>
      <c r="H22" s="51"/>
    </row>
    <row r="23" spans="1:8" ht="15" customHeight="1">
      <c r="A23" s="71"/>
      <c r="B23" s="71"/>
      <c r="C23" s="71"/>
      <c r="D23" s="71"/>
      <c r="E23" s="71"/>
      <c r="F23" s="50"/>
      <c r="G23" s="51"/>
    </row>
    <row r="24" spans="1:8" ht="15" customHeight="1">
      <c r="A24" s="71"/>
      <c r="B24" s="71"/>
      <c r="C24" s="71"/>
      <c r="D24" s="71"/>
      <c r="E24" s="71"/>
      <c r="F24" s="50"/>
      <c r="G24" s="51"/>
    </row>
    <row r="25" spans="1:8" ht="21">
      <c r="A25" s="71"/>
      <c r="B25" s="71"/>
      <c r="C25" s="71"/>
      <c r="D25" s="71"/>
      <c r="E25" s="50"/>
      <c r="F25" s="50"/>
      <c r="G25" s="51"/>
    </row>
  </sheetData>
  <mergeCells count="2">
    <mergeCell ref="A1:D1"/>
    <mergeCell ref="A2:D2"/>
  </mergeCells>
  <phoneticPr fontId="0" type="noConversion"/>
  <pageMargins left="0.75" right="0.49" top="0.7" bottom="1" header="0.5" footer="0.5"/>
  <pageSetup paperSize="9" orientation="portrait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 codeName="Лист9"/>
  <dimension ref="A1:AB67"/>
  <sheetViews>
    <sheetView topLeftCell="K7" workbookViewId="0">
      <selection activeCell="L28" sqref="L28:S43"/>
    </sheetView>
  </sheetViews>
  <sheetFormatPr defaultRowHeight="15"/>
  <cols>
    <col min="9" max="10" width="9.140625" style="9"/>
  </cols>
  <sheetData>
    <row r="1" spans="1:28">
      <c r="A1" t="str">
        <f t="shared" ref="A1:H1" si="0">ROW()&amp;COLUMN()</f>
        <v>11</v>
      </c>
      <c r="B1" t="str">
        <f t="shared" si="0"/>
        <v>12</v>
      </c>
      <c r="C1" t="str">
        <f t="shared" si="0"/>
        <v>13</v>
      </c>
      <c r="D1" t="str">
        <f t="shared" si="0"/>
        <v>14</v>
      </c>
      <c r="E1" t="str">
        <f t="shared" si="0"/>
        <v>15</v>
      </c>
      <c r="F1" t="str">
        <f t="shared" si="0"/>
        <v>16</v>
      </c>
      <c r="G1" t="str">
        <f t="shared" si="0"/>
        <v>17</v>
      </c>
      <c r="H1" t="str">
        <f t="shared" si="0"/>
        <v>18</v>
      </c>
      <c r="L1" t="e">
        <f t="shared" ref="L1:S1" si="1">MATCH(A1,$I:$I,0)</f>
        <v>#N/A</v>
      </c>
      <c r="M1" t="e">
        <f t="shared" si="1"/>
        <v>#N/A</v>
      </c>
      <c r="N1" t="e">
        <f t="shared" si="1"/>
        <v>#N/A</v>
      </c>
      <c r="O1" t="e">
        <f t="shared" si="1"/>
        <v>#N/A</v>
      </c>
      <c r="P1" t="e">
        <f t="shared" si="1"/>
        <v>#N/A</v>
      </c>
      <c r="Q1" t="e">
        <f t="shared" si="1"/>
        <v>#N/A</v>
      </c>
      <c r="R1" t="e">
        <f t="shared" si="1"/>
        <v>#N/A</v>
      </c>
      <c r="S1" t="e">
        <f t="shared" si="1"/>
        <v>#N/A</v>
      </c>
      <c r="U1" t="e">
        <f t="shared" ref="U1:AB8" si="2">MATCH(A1,$J:$J,0)</f>
        <v>#N/A</v>
      </c>
      <c r="V1" t="e">
        <f t="shared" si="2"/>
        <v>#N/A</v>
      </c>
      <c r="W1" t="e">
        <f t="shared" si="2"/>
        <v>#N/A</v>
      </c>
      <c r="X1" t="e">
        <f t="shared" si="2"/>
        <v>#N/A</v>
      </c>
      <c r="Y1" t="e">
        <f t="shared" si="2"/>
        <v>#N/A</v>
      </c>
      <c r="Z1" t="e">
        <f t="shared" si="2"/>
        <v>#N/A</v>
      </c>
      <c r="AA1" t="e">
        <f t="shared" si="2"/>
        <v>#N/A</v>
      </c>
      <c r="AB1" t="e">
        <f t="shared" si="2"/>
        <v>#N/A</v>
      </c>
    </row>
    <row r="2" spans="1:28">
      <c r="A2" t="str">
        <f t="shared" ref="A2:E3" si="3">ROW()&amp;COLUMN()</f>
        <v>21</v>
      </c>
      <c r="B2" t="str">
        <f t="shared" si="3"/>
        <v>22</v>
      </c>
      <c r="C2" t="str">
        <f t="shared" si="3"/>
        <v>23</v>
      </c>
      <c r="D2" t="str">
        <f t="shared" si="3"/>
        <v>24</v>
      </c>
      <c r="E2" t="str">
        <f t="shared" si="3"/>
        <v>25</v>
      </c>
      <c r="F2" t="str">
        <f t="shared" ref="F2:H8" si="4">ROW()&amp;COLUMN()</f>
        <v>26</v>
      </c>
      <c r="G2" t="str">
        <f t="shared" si="4"/>
        <v>27</v>
      </c>
      <c r="H2" t="str">
        <f t="shared" si="4"/>
        <v>28</v>
      </c>
      <c r="L2" t="e">
        <f t="shared" ref="L2:N4" si="5">MATCH(A2,$I:$I,0)</f>
        <v>#N/A</v>
      </c>
      <c r="M2" t="e">
        <f t="shared" si="5"/>
        <v>#N/A</v>
      </c>
      <c r="N2" t="e">
        <f t="shared" si="5"/>
        <v>#N/A</v>
      </c>
      <c r="O2" t="e">
        <f t="shared" ref="O2:S4" si="6">MATCH(D2,$I:$I,0)</f>
        <v>#N/A</v>
      </c>
      <c r="P2" t="e">
        <f t="shared" si="6"/>
        <v>#N/A</v>
      </c>
      <c r="Q2" t="e">
        <f t="shared" si="6"/>
        <v>#N/A</v>
      </c>
      <c r="R2" t="e">
        <f t="shared" si="6"/>
        <v>#N/A</v>
      </c>
      <c r="S2" t="e">
        <f t="shared" si="6"/>
        <v>#N/A</v>
      </c>
      <c r="U2" t="e">
        <f t="shared" si="2"/>
        <v>#N/A</v>
      </c>
      <c r="V2" t="e">
        <f t="shared" si="2"/>
        <v>#N/A</v>
      </c>
      <c r="W2" t="e">
        <f t="shared" si="2"/>
        <v>#N/A</v>
      </c>
      <c r="X2" t="e">
        <f t="shared" si="2"/>
        <v>#N/A</v>
      </c>
      <c r="Y2" t="e">
        <f t="shared" si="2"/>
        <v>#N/A</v>
      </c>
      <c r="Z2" t="e">
        <f t="shared" si="2"/>
        <v>#N/A</v>
      </c>
      <c r="AA2" t="e">
        <f t="shared" si="2"/>
        <v>#N/A</v>
      </c>
      <c r="AB2" t="e">
        <f t="shared" si="2"/>
        <v>#N/A</v>
      </c>
    </row>
    <row r="3" spans="1:28">
      <c r="A3" t="str">
        <f t="shared" si="3"/>
        <v>31</v>
      </c>
      <c r="B3" t="str">
        <f t="shared" si="3"/>
        <v>32</v>
      </c>
      <c r="C3" t="str">
        <f t="shared" si="3"/>
        <v>33</v>
      </c>
      <c r="D3" t="str">
        <f t="shared" si="3"/>
        <v>34</v>
      </c>
      <c r="E3" t="str">
        <f t="shared" si="3"/>
        <v>35</v>
      </c>
      <c r="F3" t="str">
        <f t="shared" si="4"/>
        <v>36</v>
      </c>
      <c r="G3" t="str">
        <f t="shared" si="4"/>
        <v>37</v>
      </c>
      <c r="H3" t="str">
        <f t="shared" si="4"/>
        <v>38</v>
      </c>
      <c r="L3" t="e">
        <f t="shared" si="5"/>
        <v>#N/A</v>
      </c>
      <c r="M3" t="e">
        <f t="shared" si="5"/>
        <v>#N/A</v>
      </c>
      <c r="N3" t="e">
        <f t="shared" si="5"/>
        <v>#N/A</v>
      </c>
      <c r="O3" t="e">
        <f t="shared" si="6"/>
        <v>#N/A</v>
      </c>
      <c r="P3" t="e">
        <f t="shared" si="6"/>
        <v>#N/A</v>
      </c>
      <c r="Q3" t="e">
        <f t="shared" si="6"/>
        <v>#N/A</v>
      </c>
      <c r="R3" t="e">
        <f t="shared" si="6"/>
        <v>#N/A</v>
      </c>
      <c r="S3" t="e">
        <f t="shared" si="6"/>
        <v>#N/A</v>
      </c>
      <c r="U3" t="e">
        <f t="shared" si="2"/>
        <v>#N/A</v>
      </c>
      <c r="V3" t="e">
        <f t="shared" si="2"/>
        <v>#N/A</v>
      </c>
      <c r="W3" t="e">
        <f t="shared" si="2"/>
        <v>#N/A</v>
      </c>
      <c r="X3" t="e">
        <f t="shared" si="2"/>
        <v>#N/A</v>
      </c>
      <c r="Y3" t="e">
        <f t="shared" si="2"/>
        <v>#N/A</v>
      </c>
      <c r="Z3" t="e">
        <f t="shared" si="2"/>
        <v>#N/A</v>
      </c>
      <c r="AA3" t="e">
        <f t="shared" si="2"/>
        <v>#N/A</v>
      </c>
      <c r="AB3" t="e">
        <f t="shared" si="2"/>
        <v>#N/A</v>
      </c>
    </row>
    <row r="4" spans="1:28">
      <c r="A4" t="str">
        <f t="shared" ref="A4:E8" si="7">ROW()&amp;COLUMN()</f>
        <v>41</v>
      </c>
      <c r="B4" t="str">
        <f t="shared" si="7"/>
        <v>42</v>
      </c>
      <c r="C4" t="str">
        <f t="shared" si="7"/>
        <v>43</v>
      </c>
      <c r="D4" t="str">
        <f t="shared" si="7"/>
        <v>44</v>
      </c>
      <c r="E4" t="str">
        <f t="shared" si="7"/>
        <v>45</v>
      </c>
      <c r="F4" t="str">
        <f t="shared" si="4"/>
        <v>46</v>
      </c>
      <c r="G4" t="str">
        <f t="shared" si="4"/>
        <v>47</v>
      </c>
      <c r="H4" t="str">
        <f t="shared" si="4"/>
        <v>48</v>
      </c>
      <c r="L4" t="e">
        <f t="shared" si="5"/>
        <v>#N/A</v>
      </c>
      <c r="M4" t="e">
        <f t="shared" si="5"/>
        <v>#N/A</v>
      </c>
      <c r="N4" t="e">
        <f t="shared" si="5"/>
        <v>#N/A</v>
      </c>
      <c r="O4" t="e">
        <f>MATCH(D4,$I:$I,0)</f>
        <v>#N/A</v>
      </c>
      <c r="P4" t="e">
        <f t="shared" si="6"/>
        <v>#N/A</v>
      </c>
      <c r="Q4" t="e">
        <f t="shared" si="6"/>
        <v>#N/A</v>
      </c>
      <c r="R4" t="e">
        <f t="shared" si="6"/>
        <v>#N/A</v>
      </c>
      <c r="S4" t="e">
        <f t="shared" si="6"/>
        <v>#N/A</v>
      </c>
      <c r="U4" t="e">
        <f t="shared" si="2"/>
        <v>#N/A</v>
      </c>
      <c r="V4" t="e">
        <f t="shared" si="2"/>
        <v>#N/A</v>
      </c>
      <c r="W4" t="e">
        <f t="shared" si="2"/>
        <v>#N/A</v>
      </c>
      <c r="X4" t="e">
        <f t="shared" si="2"/>
        <v>#N/A</v>
      </c>
      <c r="Y4" t="e">
        <f t="shared" si="2"/>
        <v>#N/A</v>
      </c>
      <c r="Z4" t="e">
        <f t="shared" si="2"/>
        <v>#N/A</v>
      </c>
      <c r="AA4" t="e">
        <f t="shared" si="2"/>
        <v>#N/A</v>
      </c>
      <c r="AB4" t="e">
        <f t="shared" si="2"/>
        <v>#N/A</v>
      </c>
    </row>
    <row r="5" spans="1:28">
      <c r="A5" t="str">
        <f t="shared" si="7"/>
        <v>51</v>
      </c>
      <c r="B5" t="str">
        <f t="shared" si="7"/>
        <v>52</v>
      </c>
      <c r="C5" t="str">
        <f t="shared" si="7"/>
        <v>53</v>
      </c>
      <c r="D5" t="str">
        <f t="shared" si="7"/>
        <v>54</v>
      </c>
      <c r="E5" t="str">
        <f t="shared" si="7"/>
        <v>55</v>
      </c>
      <c r="F5" t="str">
        <f t="shared" si="4"/>
        <v>56</v>
      </c>
      <c r="G5" t="str">
        <f t="shared" si="4"/>
        <v>57</v>
      </c>
      <c r="H5" t="str">
        <f t="shared" si="4"/>
        <v>58</v>
      </c>
      <c r="L5" t="e">
        <f t="shared" ref="L5:S6" si="8">MATCH(A5,$I:$I,0)</f>
        <v>#N/A</v>
      </c>
      <c r="M5" t="e">
        <f t="shared" si="8"/>
        <v>#N/A</v>
      </c>
      <c r="N5" t="e">
        <f t="shared" si="8"/>
        <v>#N/A</v>
      </c>
      <c r="O5" t="e">
        <f t="shared" si="8"/>
        <v>#N/A</v>
      </c>
      <c r="P5" t="e">
        <f t="shared" si="8"/>
        <v>#N/A</v>
      </c>
      <c r="Q5" t="e">
        <f t="shared" si="8"/>
        <v>#N/A</v>
      </c>
      <c r="R5" t="e">
        <f t="shared" si="8"/>
        <v>#N/A</v>
      </c>
      <c r="S5" t="e">
        <f t="shared" si="8"/>
        <v>#N/A</v>
      </c>
      <c r="U5" t="e">
        <f t="shared" si="2"/>
        <v>#N/A</v>
      </c>
      <c r="V5" t="e">
        <f t="shared" si="2"/>
        <v>#N/A</v>
      </c>
      <c r="W5" t="e">
        <f t="shared" si="2"/>
        <v>#N/A</v>
      </c>
      <c r="X5" t="e">
        <f t="shared" si="2"/>
        <v>#N/A</v>
      </c>
      <c r="Y5" t="e">
        <f t="shared" si="2"/>
        <v>#N/A</v>
      </c>
      <c r="Z5" t="e">
        <f t="shared" si="2"/>
        <v>#N/A</v>
      </c>
      <c r="AA5" t="e">
        <f t="shared" si="2"/>
        <v>#N/A</v>
      </c>
      <c r="AB5" t="e">
        <f t="shared" si="2"/>
        <v>#N/A</v>
      </c>
    </row>
    <row r="6" spans="1:28">
      <c r="A6" t="str">
        <f t="shared" si="7"/>
        <v>61</v>
      </c>
      <c r="B6" t="str">
        <f t="shared" si="7"/>
        <v>62</v>
      </c>
      <c r="C6" t="str">
        <f t="shared" si="7"/>
        <v>63</v>
      </c>
      <c r="D6" t="str">
        <f t="shared" si="7"/>
        <v>64</v>
      </c>
      <c r="E6" t="str">
        <f t="shared" si="7"/>
        <v>65</v>
      </c>
      <c r="F6" t="str">
        <f t="shared" si="4"/>
        <v>66</v>
      </c>
      <c r="G6" t="str">
        <f t="shared" si="4"/>
        <v>67</v>
      </c>
      <c r="H6" t="str">
        <f t="shared" si="4"/>
        <v>68</v>
      </c>
      <c r="L6" t="e">
        <f t="shared" si="8"/>
        <v>#N/A</v>
      </c>
      <c r="M6" t="e">
        <f t="shared" si="8"/>
        <v>#N/A</v>
      </c>
      <c r="N6" t="e">
        <f t="shared" si="8"/>
        <v>#N/A</v>
      </c>
      <c r="O6" t="e">
        <f t="shared" si="8"/>
        <v>#N/A</v>
      </c>
      <c r="P6" t="e">
        <f t="shared" si="8"/>
        <v>#N/A</v>
      </c>
      <c r="Q6" t="e">
        <f t="shared" si="8"/>
        <v>#N/A</v>
      </c>
      <c r="R6" t="e">
        <f t="shared" si="8"/>
        <v>#N/A</v>
      </c>
      <c r="S6" t="e">
        <f t="shared" si="8"/>
        <v>#N/A</v>
      </c>
      <c r="U6" t="e">
        <f t="shared" si="2"/>
        <v>#N/A</v>
      </c>
      <c r="V6" t="e">
        <f t="shared" si="2"/>
        <v>#N/A</v>
      </c>
      <c r="W6" t="e">
        <f t="shared" si="2"/>
        <v>#N/A</v>
      </c>
      <c r="X6" t="e">
        <f t="shared" si="2"/>
        <v>#N/A</v>
      </c>
      <c r="Y6" t="e">
        <f t="shared" si="2"/>
        <v>#N/A</v>
      </c>
      <c r="Z6" t="e">
        <f t="shared" si="2"/>
        <v>#N/A</v>
      </c>
      <c r="AA6" t="e">
        <f t="shared" si="2"/>
        <v>#N/A</v>
      </c>
      <c r="AB6" t="e">
        <f t="shared" si="2"/>
        <v>#N/A</v>
      </c>
    </row>
    <row r="7" spans="1:28">
      <c r="A7" t="str">
        <f t="shared" si="7"/>
        <v>71</v>
      </c>
      <c r="B7" t="str">
        <f t="shared" si="7"/>
        <v>72</v>
      </c>
      <c r="C7" t="str">
        <f t="shared" si="7"/>
        <v>73</v>
      </c>
      <c r="D7" t="str">
        <f t="shared" si="7"/>
        <v>74</v>
      </c>
      <c r="E7" t="str">
        <f t="shared" si="7"/>
        <v>75</v>
      </c>
      <c r="F7" t="str">
        <f t="shared" si="4"/>
        <v>76</v>
      </c>
      <c r="G7" t="str">
        <f t="shared" si="4"/>
        <v>77</v>
      </c>
      <c r="H7" t="str">
        <f t="shared" si="4"/>
        <v>78</v>
      </c>
      <c r="L7" t="e">
        <f t="shared" ref="L7:S8" si="9">MATCH(A7,$I:$I,0)</f>
        <v>#N/A</v>
      </c>
      <c r="M7" t="e">
        <f t="shared" si="9"/>
        <v>#N/A</v>
      </c>
      <c r="N7" t="e">
        <f t="shared" si="9"/>
        <v>#N/A</v>
      </c>
      <c r="O7" t="e">
        <f t="shared" si="9"/>
        <v>#N/A</v>
      </c>
      <c r="P7" t="e">
        <f t="shared" si="9"/>
        <v>#N/A</v>
      </c>
      <c r="Q7" t="e">
        <f t="shared" si="9"/>
        <v>#N/A</v>
      </c>
      <c r="R7" t="e">
        <f t="shared" si="9"/>
        <v>#N/A</v>
      </c>
      <c r="S7" t="e">
        <f t="shared" si="9"/>
        <v>#N/A</v>
      </c>
      <c r="U7" t="e">
        <f t="shared" si="2"/>
        <v>#N/A</v>
      </c>
      <c r="V7" t="e">
        <f t="shared" si="2"/>
        <v>#N/A</v>
      </c>
      <c r="W7" t="e">
        <f t="shared" si="2"/>
        <v>#N/A</v>
      </c>
      <c r="X7" t="e">
        <f t="shared" si="2"/>
        <v>#N/A</v>
      </c>
      <c r="Y7" t="e">
        <f t="shared" si="2"/>
        <v>#N/A</v>
      </c>
      <c r="Z7" t="e">
        <f t="shared" si="2"/>
        <v>#N/A</v>
      </c>
      <c r="AA7" t="e">
        <f t="shared" si="2"/>
        <v>#N/A</v>
      </c>
      <c r="AB7" t="e">
        <f t="shared" si="2"/>
        <v>#N/A</v>
      </c>
    </row>
    <row r="8" spans="1:28">
      <c r="A8" t="str">
        <f t="shared" si="7"/>
        <v>81</v>
      </c>
      <c r="B8" t="str">
        <f t="shared" si="7"/>
        <v>82</v>
      </c>
      <c r="C8" t="str">
        <f t="shared" si="7"/>
        <v>83</v>
      </c>
      <c r="D8" t="str">
        <f t="shared" si="7"/>
        <v>84</v>
      </c>
      <c r="E8" t="str">
        <f t="shared" si="7"/>
        <v>85</v>
      </c>
      <c r="F8" t="str">
        <f t="shared" si="4"/>
        <v>86</v>
      </c>
      <c r="G8" t="str">
        <f t="shared" si="4"/>
        <v>87</v>
      </c>
      <c r="H8" t="str">
        <f t="shared" si="4"/>
        <v>88</v>
      </c>
      <c r="L8" t="e">
        <f t="shared" si="9"/>
        <v>#N/A</v>
      </c>
      <c r="M8" t="e">
        <f t="shared" si="9"/>
        <v>#N/A</v>
      </c>
      <c r="N8" t="e">
        <f t="shared" si="9"/>
        <v>#N/A</v>
      </c>
      <c r="O8" t="e">
        <f t="shared" si="9"/>
        <v>#N/A</v>
      </c>
      <c r="P8" t="e">
        <f t="shared" si="9"/>
        <v>#N/A</v>
      </c>
      <c r="Q8" t="e">
        <f t="shared" si="9"/>
        <v>#N/A</v>
      </c>
      <c r="R8" t="e">
        <f t="shared" si="9"/>
        <v>#N/A</v>
      </c>
      <c r="S8" t="e">
        <f t="shared" si="9"/>
        <v>#N/A</v>
      </c>
      <c r="U8" t="e">
        <f t="shared" si="2"/>
        <v>#N/A</v>
      </c>
      <c r="V8" t="e">
        <f t="shared" si="2"/>
        <v>#N/A</v>
      </c>
      <c r="W8" t="e">
        <f t="shared" si="2"/>
        <v>#N/A</v>
      </c>
      <c r="X8" t="e">
        <f t="shared" si="2"/>
        <v>#N/A</v>
      </c>
      <c r="Y8" t="e">
        <f t="shared" si="2"/>
        <v>#N/A</v>
      </c>
      <c r="Z8" t="e">
        <f t="shared" si="2"/>
        <v>#N/A</v>
      </c>
      <c r="AA8" t="e">
        <f t="shared" si="2"/>
        <v>#N/A</v>
      </c>
      <c r="AB8" t="e">
        <f t="shared" si="2"/>
        <v>#N/A</v>
      </c>
    </row>
    <row r="11" spans="1:28">
      <c r="L11" t="str">
        <f ca="1">IF(ISNA(INDIRECT(ADDRESS(ROUND(ROW()/2,0)-5,COLUMN()))),"",IF(ISODD(ROW()),"двссыл(адрес("&amp;INDIRECT(ADDRESS(ROUND(ROW()/2,0)-5,COLUMN()))&amp;",6))&amp;"":""&amp;двссыл(адрес("&amp;INDIRECT(ADDRESS(ROUND(ROW()/2,0)-5,COLUMN()))&amp;",7))","ЕСЛИ(длстр(двссыл(адрес(строка()-1, столбец())))=1,"""",двссыл(адрес("&amp;INDIRECT(ADDRESS(ROUND(ROW()/2,0)-5,COLUMN()))&amp;",6))-двссыл(адрес("&amp;INDIRECT(ADDRESS(ROUND(ROW()/2,0)-5,COLUMN()))&amp;",7)))"))</f>
        <v/>
      </c>
      <c r="M11" t="str">
        <f t="shared" ref="M11:S11" ca="1" si="10">IF(ISNA(INDIRECT(ADDRESS(ROUND(ROW()/2,0)-5,COLUMN()))),"",IF(ISODD(ROW()),"двссыл(адрес("&amp;INDIRECT(ADDRESS(ROUND(ROW()/2,0)-5,COLUMN()))&amp;",6))&amp;"":""&amp;двссыл(адрес("&amp;INDIRECT(ADDRESS(ROUND(ROW()/2,0)-5,COLUMN()))&amp;",7))","ЕСЛИ(длстр(двссыл(адрес(строка()-1, столбец())))=1,"""",двссыл(адрес("&amp;INDIRECT(ADDRESS(ROUND(ROW()/2,0)-5,COLUMN()))&amp;",6))-двссыл(адрес("&amp;INDIRECT(ADDRESS(ROUND(ROW()/2,0)-5,COLUMN()))&amp;",7)))"))</f>
        <v/>
      </c>
      <c r="N11" t="str">
        <f t="shared" ca="1" si="10"/>
        <v/>
      </c>
      <c r="O11" t="str">
        <f t="shared" ca="1" si="10"/>
        <v/>
      </c>
      <c r="P11" t="str">
        <f t="shared" ca="1" si="10"/>
        <v/>
      </c>
      <c r="Q11" t="str">
        <f t="shared" ca="1" si="10"/>
        <v/>
      </c>
      <c r="R11" t="str">
        <f t="shared" ca="1" si="10"/>
        <v/>
      </c>
      <c r="S11" t="str">
        <f t="shared" ca="1" si="10"/>
        <v/>
      </c>
      <c r="U11" t="str">
        <f ca="1">IF(ISNA(INDIRECT(ADDRESS(ROUND(ROW()/2,0)-5,COLUMN()))),"",IF(ISODD(ROW()),"двссыл(адрес("&amp;INDIRECT(ADDRESS(ROUND(ROW()/2,0)-5,COLUMN()))&amp;",7))&amp;"":""&amp;двссыл(адрес("&amp;INDIRECT(ADDRESS(ROUND(ROW()/2,0)-5,COLUMN()))&amp;",6))","ЕСЛИ(длстр(двссыл(адрес(строка()-1, столбец())))=1,"""",двссыл(адрес("&amp;INDIRECT(ADDRESS(ROUND(ROW()/2,0)-5,COLUMN()))&amp;",7))-двссыл(адрес("&amp;INDIRECT(ADDRESS(ROUND(ROW()/2,0)-5,COLUMN()))&amp;",6)))"))</f>
        <v/>
      </c>
      <c r="V11" t="str">
        <f t="shared" ref="V11:AB11" ca="1" si="11">IF(ISNA(INDIRECT(ADDRESS(ROUND(ROW()/2,0)-5,COLUMN()))),"",IF(ISODD(ROW()),"двссыл(адрес("&amp;INDIRECT(ADDRESS(ROUND(ROW()/2,0)-5,COLUMN()))&amp;",7))&amp;"":""&amp;двссыл(адрес("&amp;INDIRECT(ADDRESS(ROUND(ROW()/2,0)-5,COLUMN()))&amp;",6))","ЕСЛИ(длстр(двссыл(адрес(строка()-1, столбец())))=1,"""",двссыл(адрес("&amp;INDIRECT(ADDRESS(ROUND(ROW()/2,0)-5,COLUMN()))&amp;",7))-двссыл(адрес("&amp;INDIRECT(ADDRESS(ROUND(ROW()/2,0)-5,COLUMN()))&amp;",6)))"))</f>
        <v/>
      </c>
      <c r="W11" t="str">
        <f t="shared" ca="1" si="11"/>
        <v/>
      </c>
      <c r="X11" t="str">
        <f t="shared" ca="1" si="11"/>
        <v/>
      </c>
      <c r="Y11" t="str">
        <f t="shared" ca="1" si="11"/>
        <v/>
      </c>
      <c r="Z11" t="str">
        <f t="shared" ca="1" si="11"/>
        <v/>
      </c>
      <c r="AA11" t="str">
        <f t="shared" ca="1" si="11"/>
        <v/>
      </c>
      <c r="AB11" t="str">
        <f t="shared" ca="1" si="11"/>
        <v/>
      </c>
    </row>
    <row r="12" spans="1:28">
      <c r="L12" t="str">
        <f t="shared" ref="L12:S26" ca="1" si="12">IF(ISNA(INDIRECT(ADDRESS(ROUND(ROW()/2,0)-5,COLUMN()))),"",IF(ISODD(ROW()),"двссыл(адрес("&amp;INDIRECT(ADDRESS(ROUND(ROW()/2,0)-5,COLUMN()))&amp;",6))&amp;"":""&amp;двссыл(адрес("&amp;INDIRECT(ADDRESS(ROUND(ROW()/2,0)-5,COLUMN()))&amp;",7))","ЕСЛИ(длстр(двссыл(адрес(строка()-1, столбец())))=1,"""",двссыл(адрес("&amp;INDIRECT(ADDRESS(ROUND(ROW()/2,0)-5,COLUMN()))&amp;",6))-двссыл(адрес("&amp;INDIRECT(ADDRESS(ROUND(ROW()/2,0)-5,COLUMN()))&amp;",7)))"))</f>
        <v/>
      </c>
      <c r="M12" t="str">
        <f t="shared" ca="1" si="12"/>
        <v/>
      </c>
      <c r="N12" t="str">
        <f t="shared" ca="1" si="12"/>
        <v/>
      </c>
      <c r="O12" t="str">
        <f t="shared" ca="1" si="12"/>
        <v/>
      </c>
      <c r="P12" t="str">
        <f t="shared" ca="1" si="12"/>
        <v/>
      </c>
      <c r="Q12" t="str">
        <f t="shared" ca="1" si="12"/>
        <v/>
      </c>
      <c r="R12" t="str">
        <f t="shared" ca="1" si="12"/>
        <v/>
      </c>
      <c r="S12" t="str">
        <f t="shared" ca="1" si="12"/>
        <v/>
      </c>
      <c r="U12" t="str">
        <f t="shared" ref="U12:AB26" ca="1" si="13">IF(ISNA(INDIRECT(ADDRESS(ROUND(ROW()/2,0)-5,COLUMN()))),"",IF(ISODD(ROW()),"двссыл(адрес("&amp;INDIRECT(ADDRESS(ROUND(ROW()/2,0)-5,COLUMN()))&amp;",7))&amp;"":""&amp;двссыл(адрес("&amp;INDIRECT(ADDRESS(ROUND(ROW()/2,0)-5,COLUMN()))&amp;",6))","ЕСЛИ(длстр(двссыл(адрес(строка()-1, столбец())))=1,"""",двссыл(адрес("&amp;INDIRECT(ADDRESS(ROUND(ROW()/2,0)-5,COLUMN()))&amp;",7))-двссыл(адрес("&amp;INDIRECT(ADDRESS(ROUND(ROW()/2,0)-5,COLUMN()))&amp;",6)))"))</f>
        <v/>
      </c>
      <c r="V12" t="str">
        <f t="shared" ca="1" si="13"/>
        <v/>
      </c>
      <c r="W12" t="str">
        <f t="shared" ca="1" si="13"/>
        <v/>
      </c>
      <c r="X12" t="str">
        <f t="shared" ca="1" si="13"/>
        <v/>
      </c>
      <c r="Y12" t="str">
        <f t="shared" ca="1" si="13"/>
        <v/>
      </c>
      <c r="Z12" t="str">
        <f t="shared" ca="1" si="13"/>
        <v/>
      </c>
      <c r="AA12" t="str">
        <f t="shared" ca="1" si="13"/>
        <v/>
      </c>
      <c r="AB12" t="str">
        <f t="shared" ca="1" si="13"/>
        <v/>
      </c>
    </row>
    <row r="13" spans="1:28">
      <c r="L13" t="str">
        <f t="shared" ca="1" si="12"/>
        <v/>
      </c>
      <c r="M13" t="str">
        <f t="shared" ca="1" si="12"/>
        <v/>
      </c>
      <c r="N13" t="str">
        <f t="shared" ca="1" si="12"/>
        <v/>
      </c>
      <c r="O13" t="str">
        <f t="shared" ca="1" si="12"/>
        <v/>
      </c>
      <c r="P13" t="str">
        <f t="shared" ca="1" si="12"/>
        <v/>
      </c>
      <c r="Q13" t="str">
        <f t="shared" ca="1" si="12"/>
        <v/>
      </c>
      <c r="R13" t="str">
        <f t="shared" ca="1" si="12"/>
        <v/>
      </c>
      <c r="S13" t="str">
        <f t="shared" ca="1" si="12"/>
        <v/>
      </c>
      <c r="U13" t="str">
        <f t="shared" ca="1" si="13"/>
        <v/>
      </c>
      <c r="V13" t="str">
        <f t="shared" ca="1" si="13"/>
        <v/>
      </c>
      <c r="W13" t="str">
        <f t="shared" ca="1" si="13"/>
        <v/>
      </c>
      <c r="X13" t="str">
        <f t="shared" ca="1" si="13"/>
        <v/>
      </c>
      <c r="Y13" t="str">
        <f t="shared" ca="1" si="13"/>
        <v/>
      </c>
      <c r="Z13" t="str">
        <f t="shared" ca="1" si="13"/>
        <v/>
      </c>
      <c r="AA13" t="str">
        <f t="shared" ca="1" si="13"/>
        <v/>
      </c>
      <c r="AB13" t="str">
        <f t="shared" ca="1" si="13"/>
        <v/>
      </c>
    </row>
    <row r="14" spans="1:28">
      <c r="L14" t="str">
        <f t="shared" ca="1" si="12"/>
        <v/>
      </c>
      <c r="M14" t="str">
        <f t="shared" ca="1" si="12"/>
        <v/>
      </c>
      <c r="N14" t="str">
        <f t="shared" ca="1" si="12"/>
        <v/>
      </c>
      <c r="O14" t="str">
        <f t="shared" ca="1" si="12"/>
        <v/>
      </c>
      <c r="P14" t="str">
        <f t="shared" ca="1" si="12"/>
        <v/>
      </c>
      <c r="Q14" t="str">
        <f t="shared" ca="1" si="12"/>
        <v/>
      </c>
      <c r="R14" t="str">
        <f t="shared" ca="1" si="12"/>
        <v/>
      </c>
      <c r="S14" t="str">
        <f t="shared" ca="1" si="12"/>
        <v/>
      </c>
      <c r="U14" t="str">
        <f t="shared" ca="1" si="13"/>
        <v/>
      </c>
      <c r="V14" t="str">
        <f t="shared" ca="1" si="13"/>
        <v/>
      </c>
      <c r="W14" t="str">
        <f t="shared" ca="1" si="13"/>
        <v/>
      </c>
      <c r="X14" t="str">
        <f t="shared" ca="1" si="13"/>
        <v/>
      </c>
      <c r="Y14" t="str">
        <f t="shared" ca="1" si="13"/>
        <v/>
      </c>
      <c r="Z14" t="str">
        <f t="shared" ca="1" si="13"/>
        <v/>
      </c>
      <c r="AA14" t="str">
        <f t="shared" ca="1" si="13"/>
        <v/>
      </c>
      <c r="AB14" t="str">
        <f t="shared" ca="1" si="13"/>
        <v/>
      </c>
    </row>
    <row r="15" spans="1:28">
      <c r="L15" t="str">
        <f t="shared" ca="1" si="12"/>
        <v/>
      </c>
      <c r="M15" t="str">
        <f t="shared" ca="1" si="12"/>
        <v/>
      </c>
      <c r="N15" t="str">
        <f t="shared" ca="1" si="12"/>
        <v/>
      </c>
      <c r="O15" t="str">
        <f t="shared" ca="1" si="12"/>
        <v/>
      </c>
      <c r="P15" t="str">
        <f t="shared" ca="1" si="12"/>
        <v/>
      </c>
      <c r="Q15" t="str">
        <f t="shared" ca="1" si="12"/>
        <v/>
      </c>
      <c r="R15" t="str">
        <f t="shared" ca="1" si="12"/>
        <v/>
      </c>
      <c r="S15" t="str">
        <f t="shared" ca="1" si="12"/>
        <v/>
      </c>
      <c r="U15" t="str">
        <f t="shared" ca="1" si="13"/>
        <v/>
      </c>
      <c r="V15" t="str">
        <f t="shared" ca="1" si="13"/>
        <v/>
      </c>
      <c r="W15" t="str">
        <f t="shared" ca="1" si="13"/>
        <v/>
      </c>
      <c r="X15" t="str">
        <f t="shared" ca="1" si="13"/>
        <v/>
      </c>
      <c r="Y15" t="str">
        <f t="shared" ca="1" si="13"/>
        <v/>
      </c>
      <c r="Z15" t="str">
        <f t="shared" ca="1" si="13"/>
        <v/>
      </c>
      <c r="AA15" t="str">
        <f t="shared" ca="1" si="13"/>
        <v/>
      </c>
      <c r="AB15" t="str">
        <f t="shared" ca="1" si="13"/>
        <v/>
      </c>
    </row>
    <row r="16" spans="1:28">
      <c r="L16" t="str">
        <f t="shared" ca="1" si="12"/>
        <v/>
      </c>
      <c r="M16" t="str">
        <f t="shared" ca="1" si="12"/>
        <v/>
      </c>
      <c r="N16" t="str">
        <f t="shared" ca="1" si="12"/>
        <v/>
      </c>
      <c r="O16" t="str">
        <f t="shared" ca="1" si="12"/>
        <v/>
      </c>
      <c r="P16" t="str">
        <f t="shared" ca="1" si="12"/>
        <v/>
      </c>
      <c r="Q16" t="str">
        <f t="shared" ca="1" si="12"/>
        <v/>
      </c>
      <c r="R16" t="str">
        <f t="shared" ca="1" si="12"/>
        <v/>
      </c>
      <c r="S16" t="str">
        <f t="shared" ca="1" si="12"/>
        <v/>
      </c>
      <c r="U16" t="str">
        <f t="shared" ca="1" si="13"/>
        <v/>
      </c>
      <c r="V16" t="str">
        <f t="shared" ca="1" si="13"/>
        <v/>
      </c>
      <c r="W16" t="str">
        <f t="shared" ca="1" si="13"/>
        <v/>
      </c>
      <c r="X16" t="str">
        <f t="shared" ca="1" si="13"/>
        <v/>
      </c>
      <c r="Y16" t="str">
        <f t="shared" ca="1" si="13"/>
        <v/>
      </c>
      <c r="Z16" t="str">
        <f t="shared" ca="1" si="13"/>
        <v/>
      </c>
      <c r="AA16" t="str">
        <f t="shared" ca="1" si="13"/>
        <v/>
      </c>
      <c r="AB16" t="str">
        <f t="shared" ca="1" si="13"/>
        <v/>
      </c>
    </row>
    <row r="17" spans="9:28">
      <c r="L17" t="str">
        <f ca="1">IF(ISNA(INDIRECT(ADDRESS(ROUND(ROW()/2,0)-5,COLUMN()))),"",IF(ISODD(ROW()),"двссыл(адрес("&amp;INDIRECT(ADDRESS(ROUND(ROW()/2,0)-5,COLUMN()))&amp;",6))&amp;"":""&amp;двссыл(адрес("&amp;INDIRECT(ADDRESS(ROUND(ROW()/2,0)-5,COLUMN()))&amp;",7))","ЕСЛИ(длстр(двссыл(адрес(строка()-1, столбец())))=1,"""",двссыл(адрес("&amp;INDIRECT(ADDRESS(ROUND(ROW()/2,0)-5,COLUMN()))&amp;",6))-двссыл(адрес("&amp;INDIRECT(ADDRESS(ROUND(ROW()/2,0)-5,COLUMN()))&amp;",7)))"))</f>
        <v/>
      </c>
      <c r="M17" t="str">
        <f t="shared" ca="1" si="12"/>
        <v/>
      </c>
      <c r="N17" t="str">
        <f t="shared" ca="1" si="12"/>
        <v/>
      </c>
      <c r="O17" t="str">
        <f t="shared" ca="1" si="12"/>
        <v/>
      </c>
      <c r="P17" t="str">
        <f t="shared" ca="1" si="12"/>
        <v/>
      </c>
      <c r="Q17" t="str">
        <f t="shared" ca="1" si="12"/>
        <v/>
      </c>
      <c r="R17" t="str">
        <f t="shared" ca="1" si="12"/>
        <v/>
      </c>
      <c r="S17" t="str">
        <f t="shared" ca="1" si="12"/>
        <v/>
      </c>
      <c r="U17" t="str">
        <f t="shared" ca="1" si="13"/>
        <v/>
      </c>
      <c r="V17" t="str">
        <f t="shared" ca="1" si="13"/>
        <v/>
      </c>
      <c r="W17" t="str">
        <f t="shared" ca="1" si="13"/>
        <v/>
      </c>
      <c r="X17" t="str">
        <f t="shared" ca="1" si="13"/>
        <v/>
      </c>
      <c r="Y17" t="str">
        <f t="shared" ca="1" si="13"/>
        <v/>
      </c>
      <c r="Z17" t="str">
        <f t="shared" ca="1" si="13"/>
        <v/>
      </c>
      <c r="AA17" t="str">
        <f t="shared" ca="1" si="13"/>
        <v/>
      </c>
      <c r="AB17" t="str">
        <f t="shared" ca="1" si="13"/>
        <v/>
      </c>
    </row>
    <row r="18" spans="9:28">
      <c r="L18" t="str">
        <f t="shared" ca="1" si="12"/>
        <v/>
      </c>
      <c r="M18" t="str">
        <f t="shared" ca="1" si="12"/>
        <v/>
      </c>
      <c r="N18" t="str">
        <f t="shared" ca="1" si="12"/>
        <v/>
      </c>
      <c r="O18" t="str">
        <f t="shared" ca="1" si="12"/>
        <v/>
      </c>
      <c r="P18" t="str">
        <f t="shared" ca="1" si="12"/>
        <v/>
      </c>
      <c r="Q18" t="str">
        <f t="shared" ca="1" si="12"/>
        <v/>
      </c>
      <c r="R18" t="str">
        <f t="shared" ca="1" si="12"/>
        <v/>
      </c>
      <c r="S18" t="str">
        <f t="shared" ca="1" si="12"/>
        <v/>
      </c>
      <c r="U18" t="str">
        <f t="shared" ca="1" si="13"/>
        <v/>
      </c>
      <c r="V18" t="str">
        <f t="shared" ca="1" si="13"/>
        <v/>
      </c>
      <c r="W18" t="str">
        <f t="shared" ca="1" si="13"/>
        <v/>
      </c>
      <c r="X18" t="str">
        <f t="shared" ca="1" si="13"/>
        <v/>
      </c>
      <c r="Y18" t="str">
        <f t="shared" ca="1" si="13"/>
        <v/>
      </c>
      <c r="Z18" t="str">
        <f t="shared" ca="1" si="13"/>
        <v/>
      </c>
      <c r="AA18" t="str">
        <f t="shared" ca="1" si="13"/>
        <v/>
      </c>
      <c r="AB18" t="str">
        <f t="shared" ca="1" si="13"/>
        <v/>
      </c>
    </row>
    <row r="19" spans="9:28">
      <c r="L19" t="str">
        <f ca="1">IF(ISNA(INDIRECT(ADDRESS(ROUND(ROW()/2,0)-5,COLUMN()))),"",IF(ISODD(ROW()),"двссыл(адрес("&amp;INDIRECT(ADDRESS(ROUND(ROW()/2,0)-5,COLUMN()))&amp;",6))&amp;"":""&amp;двссыл(адрес("&amp;INDIRECT(ADDRESS(ROUND(ROW()/2,0)-5,COLUMN()))&amp;",7))","ЕСЛИ(длстр(двссыл(адрес(строка()-1, столбец())))=1,"""",двссыл(адрес("&amp;INDIRECT(ADDRESS(ROUND(ROW()/2,0)-5,COLUMN()))&amp;",6))-двссыл(адрес("&amp;INDIRECT(ADDRESS(ROUND(ROW()/2,0)-5,COLUMN()))&amp;",7)))"))</f>
        <v/>
      </c>
      <c r="M19" t="str">
        <f t="shared" ca="1" si="12"/>
        <v/>
      </c>
      <c r="N19" t="str">
        <f t="shared" ca="1" si="12"/>
        <v/>
      </c>
      <c r="O19" t="str">
        <f t="shared" ca="1" si="12"/>
        <v/>
      </c>
      <c r="P19" t="str">
        <f t="shared" ca="1" si="12"/>
        <v/>
      </c>
      <c r="Q19" t="str">
        <f t="shared" ca="1" si="12"/>
        <v/>
      </c>
      <c r="R19" t="str">
        <f t="shared" ca="1" si="12"/>
        <v/>
      </c>
      <c r="S19" t="str">
        <f t="shared" ca="1" si="12"/>
        <v/>
      </c>
      <c r="U19" t="str">
        <f t="shared" ca="1" si="13"/>
        <v/>
      </c>
      <c r="V19" t="str">
        <f t="shared" ca="1" si="13"/>
        <v/>
      </c>
      <c r="W19" t="str">
        <f t="shared" ca="1" si="13"/>
        <v/>
      </c>
      <c r="X19" t="str">
        <f t="shared" ca="1" si="13"/>
        <v/>
      </c>
      <c r="Y19" t="str">
        <f t="shared" ca="1" si="13"/>
        <v/>
      </c>
      <c r="Z19" t="str">
        <f t="shared" ca="1" si="13"/>
        <v/>
      </c>
      <c r="AA19" t="str">
        <f t="shared" ca="1" si="13"/>
        <v/>
      </c>
      <c r="AB19" t="str">
        <f t="shared" ca="1" si="13"/>
        <v/>
      </c>
    </row>
    <row r="20" spans="9:28">
      <c r="L20" t="str">
        <f t="shared" ca="1" si="12"/>
        <v/>
      </c>
      <c r="M20" t="str">
        <f t="shared" ca="1" si="12"/>
        <v/>
      </c>
      <c r="N20" t="str">
        <f t="shared" ca="1" si="12"/>
        <v/>
      </c>
      <c r="O20" t="str">
        <f t="shared" ca="1" si="12"/>
        <v/>
      </c>
      <c r="P20" t="str">
        <f t="shared" ca="1" si="12"/>
        <v/>
      </c>
      <c r="Q20" t="str">
        <f t="shared" ca="1" si="12"/>
        <v/>
      </c>
      <c r="R20" t="str">
        <f t="shared" ca="1" si="12"/>
        <v/>
      </c>
      <c r="S20" t="str">
        <f t="shared" ca="1" si="12"/>
        <v/>
      </c>
      <c r="U20" t="str">
        <f t="shared" ca="1" si="13"/>
        <v/>
      </c>
      <c r="V20" t="str">
        <f t="shared" ca="1" si="13"/>
        <v/>
      </c>
      <c r="W20" t="str">
        <f t="shared" ca="1" si="13"/>
        <v/>
      </c>
      <c r="X20" t="str">
        <f t="shared" ca="1" si="13"/>
        <v/>
      </c>
      <c r="Y20" t="str">
        <f t="shared" ca="1" si="13"/>
        <v/>
      </c>
      <c r="Z20" t="str">
        <f t="shared" ca="1" si="13"/>
        <v/>
      </c>
      <c r="AA20" t="str">
        <f t="shared" ca="1" si="13"/>
        <v/>
      </c>
      <c r="AB20" t="str">
        <f t="shared" ca="1" si="13"/>
        <v/>
      </c>
    </row>
    <row r="21" spans="9:28">
      <c r="L21" t="str">
        <f ca="1">IF(ISNA(INDIRECT(ADDRESS(ROUND(ROW()/2,0)-5,COLUMN()))),"",IF(ISODD(ROW()),"двссыл(адрес("&amp;INDIRECT(ADDRESS(ROUND(ROW()/2,0)-5,COLUMN()))&amp;",6))&amp;"":""&amp;двссыл(адрес("&amp;INDIRECT(ADDRESS(ROUND(ROW()/2,0)-5,COLUMN()))&amp;",7))","ЕСЛИ(длстр(двссыл(адрес(строка()-1, столбец())))=1,"""",двссыл(адрес("&amp;INDIRECT(ADDRESS(ROUND(ROW()/2,0)-5,COLUMN()))&amp;",6))-двссыл(адрес("&amp;INDIRECT(ADDRESS(ROUND(ROW()/2,0)-5,COLUMN()))&amp;",7)))"))</f>
        <v/>
      </c>
      <c r="M21" t="str">
        <f t="shared" ca="1" si="12"/>
        <v/>
      </c>
      <c r="N21" t="str">
        <f t="shared" ca="1" si="12"/>
        <v/>
      </c>
      <c r="O21" t="str">
        <f t="shared" ca="1" si="12"/>
        <v/>
      </c>
      <c r="P21" t="str">
        <f t="shared" ca="1" si="12"/>
        <v/>
      </c>
      <c r="Q21" t="str">
        <f t="shared" ca="1" si="12"/>
        <v/>
      </c>
      <c r="R21" t="str">
        <f t="shared" ca="1" si="12"/>
        <v/>
      </c>
      <c r="S21" t="str">
        <f t="shared" ca="1" si="12"/>
        <v/>
      </c>
      <c r="U21" t="str">
        <f t="shared" ca="1" si="13"/>
        <v/>
      </c>
      <c r="V21" t="str">
        <f t="shared" ca="1" si="13"/>
        <v/>
      </c>
      <c r="W21" t="str">
        <f t="shared" ca="1" si="13"/>
        <v/>
      </c>
      <c r="X21" t="str">
        <f t="shared" ca="1" si="13"/>
        <v/>
      </c>
      <c r="Y21" t="str">
        <f t="shared" ca="1" si="13"/>
        <v/>
      </c>
      <c r="Z21" t="str">
        <f t="shared" ca="1" si="13"/>
        <v/>
      </c>
      <c r="AA21" t="str">
        <f t="shared" ca="1" si="13"/>
        <v/>
      </c>
      <c r="AB21" t="str">
        <f t="shared" ca="1" si="13"/>
        <v/>
      </c>
    </row>
    <row r="22" spans="9:28">
      <c r="L22" t="str">
        <f t="shared" ca="1" si="12"/>
        <v/>
      </c>
      <c r="M22" t="str">
        <f t="shared" ca="1" si="12"/>
        <v/>
      </c>
      <c r="N22" t="str">
        <f t="shared" ca="1" si="12"/>
        <v/>
      </c>
      <c r="O22" t="str">
        <f t="shared" ca="1" si="12"/>
        <v/>
      </c>
      <c r="P22" t="str">
        <f t="shared" ca="1" si="12"/>
        <v/>
      </c>
      <c r="Q22" t="str">
        <f t="shared" ca="1" si="12"/>
        <v/>
      </c>
      <c r="R22" t="str">
        <f t="shared" ca="1" si="12"/>
        <v/>
      </c>
      <c r="S22" t="str">
        <f t="shared" ca="1" si="12"/>
        <v/>
      </c>
      <c r="U22" t="str">
        <f t="shared" ca="1" si="13"/>
        <v/>
      </c>
      <c r="V22" t="str">
        <f t="shared" ca="1" si="13"/>
        <v/>
      </c>
      <c r="W22" t="str">
        <f t="shared" ca="1" si="13"/>
        <v/>
      </c>
      <c r="X22" t="str">
        <f t="shared" ca="1" si="13"/>
        <v/>
      </c>
      <c r="Y22" t="str">
        <f t="shared" ca="1" si="13"/>
        <v/>
      </c>
      <c r="Z22" t="str">
        <f t="shared" ca="1" si="13"/>
        <v/>
      </c>
      <c r="AA22" t="str">
        <f t="shared" ca="1" si="13"/>
        <v/>
      </c>
      <c r="AB22" t="str">
        <f t="shared" ca="1" si="13"/>
        <v/>
      </c>
    </row>
    <row r="23" spans="9:28">
      <c r="L23" t="str">
        <f ca="1">IF(ISNA(INDIRECT(ADDRESS(ROUND(ROW()/2,0)-5,COLUMN()))),"",IF(ISODD(ROW()),"двссыл(адрес("&amp;INDIRECT(ADDRESS(ROUND(ROW()/2,0)-5,COLUMN()))&amp;",6))&amp;"":""&amp;двссыл(адрес("&amp;INDIRECT(ADDRESS(ROUND(ROW()/2,0)-5,COLUMN()))&amp;",7))","ЕСЛИ(длстр(двссыл(адрес(строка()-1, столбец())))=1,"""",двссыл(адрес("&amp;INDIRECT(ADDRESS(ROUND(ROW()/2,0)-5,COLUMN()))&amp;",6))-двссыл(адрес("&amp;INDIRECT(ADDRESS(ROUND(ROW()/2,0)-5,COLUMN()))&amp;",7)))"))</f>
        <v/>
      </c>
      <c r="M23" t="str">
        <f t="shared" ca="1" si="12"/>
        <v/>
      </c>
      <c r="N23" t="str">
        <f t="shared" ca="1" si="12"/>
        <v/>
      </c>
      <c r="O23" t="str">
        <f t="shared" ca="1" si="12"/>
        <v/>
      </c>
      <c r="P23" t="str">
        <f t="shared" ca="1" si="12"/>
        <v/>
      </c>
      <c r="Q23" t="str">
        <f t="shared" ca="1" si="12"/>
        <v/>
      </c>
      <c r="R23" t="str">
        <f t="shared" ca="1" si="12"/>
        <v/>
      </c>
      <c r="S23" t="str">
        <f t="shared" ca="1" si="12"/>
        <v/>
      </c>
      <c r="U23" t="str">
        <f t="shared" ca="1" si="13"/>
        <v/>
      </c>
      <c r="V23" t="str">
        <f t="shared" ca="1" si="13"/>
        <v/>
      </c>
      <c r="W23" t="str">
        <f t="shared" ca="1" si="13"/>
        <v/>
      </c>
      <c r="X23" t="str">
        <f t="shared" ca="1" si="13"/>
        <v/>
      </c>
      <c r="Y23" t="str">
        <f t="shared" ca="1" si="13"/>
        <v/>
      </c>
      <c r="Z23" t="str">
        <f t="shared" ca="1" si="13"/>
        <v/>
      </c>
      <c r="AA23" t="str">
        <f t="shared" ca="1" si="13"/>
        <v/>
      </c>
      <c r="AB23" t="str">
        <f t="shared" ca="1" si="13"/>
        <v/>
      </c>
    </row>
    <row r="24" spans="9:28">
      <c r="I24" s="9" t="e">
        <f>#REF!&amp;#REF!</f>
        <v>#REF!</v>
      </c>
      <c r="J24" s="9" t="e">
        <f>#REF!&amp;#REF!</f>
        <v>#REF!</v>
      </c>
      <c r="L24" t="str">
        <f t="shared" ca="1" si="12"/>
        <v/>
      </c>
      <c r="M24" t="str">
        <f t="shared" ca="1" si="12"/>
        <v/>
      </c>
      <c r="N24" t="str">
        <f t="shared" ca="1" si="12"/>
        <v/>
      </c>
      <c r="O24" t="str">
        <f t="shared" ca="1" si="12"/>
        <v/>
      </c>
      <c r="P24" t="str">
        <f t="shared" ca="1" si="12"/>
        <v/>
      </c>
      <c r="Q24" t="str">
        <f t="shared" ca="1" si="12"/>
        <v/>
      </c>
      <c r="R24" t="str">
        <f t="shared" ca="1" si="12"/>
        <v/>
      </c>
      <c r="S24" t="str">
        <f t="shared" ca="1" si="12"/>
        <v/>
      </c>
      <c r="U24" t="str">
        <f t="shared" ca="1" si="13"/>
        <v/>
      </c>
      <c r="V24" t="str">
        <f t="shared" ca="1" si="13"/>
        <v/>
      </c>
      <c r="W24" t="str">
        <f t="shared" ca="1" si="13"/>
        <v/>
      </c>
      <c r="X24" t="str">
        <f t="shared" ca="1" si="13"/>
        <v/>
      </c>
      <c r="Y24" t="str">
        <f t="shared" ca="1" si="13"/>
        <v/>
      </c>
      <c r="Z24" t="str">
        <f t="shared" ca="1" si="13"/>
        <v/>
      </c>
      <c r="AA24" t="str">
        <f t="shared" ca="1" si="13"/>
        <v/>
      </c>
      <c r="AB24" t="str">
        <f t="shared" ca="1" si="13"/>
        <v/>
      </c>
    </row>
    <row r="25" spans="9:28">
      <c r="I25" s="9" t="e">
        <f>#REF!&amp;#REF!</f>
        <v>#REF!</v>
      </c>
      <c r="J25" s="9" t="e">
        <f>#REF!&amp;#REF!</f>
        <v>#REF!</v>
      </c>
      <c r="L25" t="str">
        <f ca="1">IF(ISNA(INDIRECT(ADDRESS(ROUND(ROW()/2,0)-5,COLUMN()))),"",IF(ISODD(ROW()),"двссыл(адрес("&amp;INDIRECT(ADDRESS(ROUND(ROW()/2,0)-5,COLUMN()))&amp;",6))&amp;"":""&amp;двссыл(адрес("&amp;INDIRECT(ADDRESS(ROUND(ROW()/2,0)-5,COLUMN()))&amp;",7))","ЕСЛИ(длстр(двссыл(адрес(строка()-1, столбец())))=1,"""",двссыл(адрес("&amp;INDIRECT(ADDRESS(ROUND(ROW()/2,0)-5,COLUMN()))&amp;",6))-двссыл(адрес("&amp;INDIRECT(ADDRESS(ROUND(ROW()/2,0)-5,COLUMN()))&amp;",7)))"))</f>
        <v/>
      </c>
      <c r="M25" t="str">
        <f t="shared" ca="1" si="12"/>
        <v/>
      </c>
      <c r="N25" t="str">
        <f t="shared" ca="1" si="12"/>
        <v/>
      </c>
      <c r="O25" t="str">
        <f t="shared" ca="1" si="12"/>
        <v/>
      </c>
      <c r="P25" t="str">
        <f t="shared" ca="1" si="12"/>
        <v/>
      </c>
      <c r="Q25" t="str">
        <f t="shared" ca="1" si="12"/>
        <v/>
      </c>
      <c r="R25" t="str">
        <f t="shared" ca="1" si="12"/>
        <v/>
      </c>
      <c r="S25" t="str">
        <f t="shared" ca="1" si="12"/>
        <v/>
      </c>
      <c r="U25" t="str">
        <f t="shared" ca="1" si="13"/>
        <v/>
      </c>
      <c r="V25" t="str">
        <f t="shared" ca="1" si="13"/>
        <v/>
      </c>
      <c r="W25" t="str">
        <f t="shared" ca="1" si="13"/>
        <v/>
      </c>
      <c r="X25" t="str">
        <f t="shared" ca="1" si="13"/>
        <v/>
      </c>
      <c r="Y25" t="str">
        <f t="shared" ca="1" si="13"/>
        <v/>
      </c>
      <c r="Z25" t="str">
        <f t="shared" ca="1" si="13"/>
        <v/>
      </c>
      <c r="AA25" t="str">
        <f t="shared" ca="1" si="13"/>
        <v/>
      </c>
      <c r="AB25" t="str">
        <f t="shared" ca="1" si="13"/>
        <v/>
      </c>
    </row>
    <row r="26" spans="9:28">
      <c r="I26" s="9" t="e">
        <f>#REF!&amp;#REF!</f>
        <v>#REF!</v>
      </c>
      <c r="J26" s="9" t="e">
        <f>#REF!&amp;#REF!</f>
        <v>#REF!</v>
      </c>
      <c r="L26" t="str">
        <f t="shared" ca="1" si="12"/>
        <v/>
      </c>
      <c r="M26" t="str">
        <f t="shared" ca="1" si="12"/>
        <v/>
      </c>
      <c r="N26" t="str">
        <f t="shared" ca="1" si="12"/>
        <v/>
      </c>
      <c r="O26" t="str">
        <f t="shared" ca="1" si="12"/>
        <v/>
      </c>
      <c r="P26" t="str">
        <f t="shared" ca="1" si="12"/>
        <v/>
      </c>
      <c r="Q26" t="str">
        <f t="shared" ca="1" si="12"/>
        <v/>
      </c>
      <c r="R26" t="str">
        <f t="shared" ca="1" si="12"/>
        <v/>
      </c>
      <c r="S26" t="str">
        <f t="shared" ca="1" si="12"/>
        <v/>
      </c>
      <c r="U26" t="str">
        <f t="shared" ca="1" si="13"/>
        <v/>
      </c>
      <c r="V26" t="str">
        <f t="shared" ca="1" si="13"/>
        <v/>
      </c>
      <c r="W26" t="str">
        <f t="shared" ca="1" si="13"/>
        <v/>
      </c>
      <c r="X26" t="str">
        <f t="shared" ca="1" si="13"/>
        <v/>
      </c>
      <c r="Y26" t="str">
        <f t="shared" ca="1" si="13"/>
        <v/>
      </c>
      <c r="Z26" t="str">
        <f t="shared" ca="1" si="13"/>
        <v/>
      </c>
      <c r="AA26" t="str">
        <f t="shared" ca="1" si="13"/>
        <v/>
      </c>
      <c r="AB26" t="str">
        <f t="shared" ca="1" si="13"/>
        <v/>
      </c>
    </row>
    <row r="27" spans="9:28">
      <c r="I27" s="9" t="e">
        <f>#REF!&amp;#REF!</f>
        <v>#REF!</v>
      </c>
      <c r="J27" s="9" t="e">
        <f>#REF!&amp;#REF!</f>
        <v>#REF!</v>
      </c>
    </row>
    <row r="28" spans="9:28">
      <c r="I28" s="9" t="e">
        <f>#REF!&amp;#REF!</f>
        <v>#REF!</v>
      </c>
      <c r="J28" s="9" t="e">
        <f>#REF!&amp;#REF!</f>
        <v>#REF!</v>
      </c>
      <c r="L28" t="str">
        <f t="shared" ref="L28:L43" ca="1" si="14">"№"&amp;L11&amp;U11</f>
        <v>№</v>
      </c>
      <c r="M28" t="str">
        <f t="shared" ref="M28:M43" ca="1" si="15">"№"&amp;M11&amp;V11</f>
        <v>№</v>
      </c>
      <c r="N28" t="str">
        <f t="shared" ref="N28:N43" ca="1" si="16">"№"&amp;N11&amp;W11</f>
        <v>№</v>
      </c>
      <c r="O28" t="str">
        <f t="shared" ref="O28:O43" ca="1" si="17">"№"&amp;O11&amp;X11</f>
        <v>№</v>
      </c>
      <c r="P28" t="str">
        <f t="shared" ref="P28:P43" ca="1" si="18">"№"&amp;P11&amp;Y11</f>
        <v>№</v>
      </c>
      <c r="Q28" t="str">
        <f t="shared" ref="Q28:Q43" ca="1" si="19">"№"&amp;Q11&amp;Z11</f>
        <v>№</v>
      </c>
      <c r="R28" t="str">
        <f t="shared" ref="R28:R43" ca="1" si="20">"№"&amp;R11&amp;AA11</f>
        <v>№</v>
      </c>
      <c r="S28" t="str">
        <f t="shared" ref="S28:S43" ca="1" si="21">"№"&amp;S11&amp;AB11</f>
        <v>№</v>
      </c>
    </row>
    <row r="29" spans="9:28">
      <c r="L29" t="str">
        <f t="shared" ca="1" si="14"/>
        <v>№</v>
      </c>
      <c r="M29" t="str">
        <f t="shared" ca="1" si="15"/>
        <v>№</v>
      </c>
      <c r="N29" t="str">
        <f t="shared" ca="1" si="16"/>
        <v>№</v>
      </c>
      <c r="O29" t="str">
        <f t="shared" ca="1" si="17"/>
        <v>№</v>
      </c>
      <c r="P29" t="str">
        <f t="shared" ca="1" si="18"/>
        <v>№</v>
      </c>
      <c r="Q29" t="str">
        <f t="shared" ca="1" si="19"/>
        <v>№</v>
      </c>
      <c r="R29" t="str">
        <f t="shared" ca="1" si="20"/>
        <v>№</v>
      </c>
      <c r="S29" t="str">
        <f t="shared" ca="1" si="21"/>
        <v>№</v>
      </c>
    </row>
    <row r="30" spans="9:28">
      <c r="I30" s="9" t="e">
        <f>#REF!&amp;#REF!</f>
        <v>#REF!</v>
      </c>
      <c r="J30" s="9" t="e">
        <f>#REF!&amp;#REF!</f>
        <v>#REF!</v>
      </c>
      <c r="L30" t="str">
        <f t="shared" ca="1" si="14"/>
        <v>№</v>
      </c>
      <c r="M30" t="str">
        <f t="shared" ca="1" si="15"/>
        <v>№</v>
      </c>
      <c r="N30" t="str">
        <f t="shared" ca="1" si="16"/>
        <v>№</v>
      </c>
      <c r="O30" t="str">
        <f t="shared" ca="1" si="17"/>
        <v>№</v>
      </c>
      <c r="P30" t="str">
        <f t="shared" ca="1" si="18"/>
        <v>№</v>
      </c>
      <c r="Q30" t="str">
        <f t="shared" ca="1" si="19"/>
        <v>№</v>
      </c>
      <c r="R30" t="str">
        <f t="shared" ca="1" si="20"/>
        <v>№</v>
      </c>
      <c r="S30" t="str">
        <f t="shared" ca="1" si="21"/>
        <v>№</v>
      </c>
    </row>
    <row r="31" spans="9:28">
      <c r="I31" s="9" t="e">
        <f>#REF!&amp;#REF!</f>
        <v>#REF!</v>
      </c>
      <c r="J31" s="9" t="e">
        <f>#REF!&amp;#REF!</f>
        <v>#REF!</v>
      </c>
      <c r="L31" t="str">
        <f t="shared" ca="1" si="14"/>
        <v>№</v>
      </c>
      <c r="M31" t="str">
        <f t="shared" ca="1" si="15"/>
        <v>№</v>
      </c>
      <c r="N31" t="str">
        <f t="shared" ca="1" si="16"/>
        <v>№</v>
      </c>
      <c r="O31" t="str">
        <f t="shared" ca="1" si="17"/>
        <v>№</v>
      </c>
      <c r="P31" t="str">
        <f t="shared" ca="1" si="18"/>
        <v>№</v>
      </c>
      <c r="Q31" t="str">
        <f t="shared" ca="1" si="19"/>
        <v>№</v>
      </c>
      <c r="R31" t="str">
        <f t="shared" ca="1" si="20"/>
        <v>№</v>
      </c>
      <c r="S31" t="str">
        <f t="shared" ca="1" si="21"/>
        <v>№</v>
      </c>
    </row>
    <row r="32" spans="9:28">
      <c r="I32" s="9" t="e">
        <f>#REF!&amp;#REF!</f>
        <v>#REF!</v>
      </c>
      <c r="J32" s="9" t="e">
        <f>#REF!&amp;#REF!</f>
        <v>#REF!</v>
      </c>
      <c r="L32" t="str">
        <f t="shared" ca="1" si="14"/>
        <v>№</v>
      </c>
      <c r="M32" t="str">
        <f t="shared" ca="1" si="15"/>
        <v>№</v>
      </c>
      <c r="N32" t="str">
        <f t="shared" ca="1" si="16"/>
        <v>№</v>
      </c>
      <c r="O32" t="str">
        <f t="shared" ca="1" si="17"/>
        <v>№</v>
      </c>
      <c r="P32" t="str">
        <f t="shared" ca="1" si="18"/>
        <v>№</v>
      </c>
      <c r="Q32" t="str">
        <f t="shared" ca="1" si="19"/>
        <v>№</v>
      </c>
      <c r="R32" t="str">
        <f t="shared" ca="1" si="20"/>
        <v>№</v>
      </c>
      <c r="S32" t="str">
        <f t="shared" ca="1" si="21"/>
        <v>№</v>
      </c>
    </row>
    <row r="33" spans="9:19">
      <c r="I33" s="9" t="e">
        <f>#REF!&amp;#REF!</f>
        <v>#REF!</v>
      </c>
      <c r="J33" s="9" t="e">
        <f>#REF!&amp;#REF!</f>
        <v>#REF!</v>
      </c>
      <c r="L33" t="str">
        <f t="shared" ca="1" si="14"/>
        <v>№</v>
      </c>
      <c r="M33" t="str">
        <f t="shared" ca="1" si="15"/>
        <v>№</v>
      </c>
      <c r="N33" t="str">
        <f t="shared" ca="1" si="16"/>
        <v>№</v>
      </c>
      <c r="O33" t="str">
        <f t="shared" ca="1" si="17"/>
        <v>№</v>
      </c>
      <c r="P33" t="str">
        <f t="shared" ca="1" si="18"/>
        <v>№</v>
      </c>
      <c r="Q33" t="str">
        <f t="shared" ca="1" si="19"/>
        <v>№</v>
      </c>
      <c r="R33" t="str">
        <f t="shared" ca="1" si="20"/>
        <v>№</v>
      </c>
      <c r="S33" t="str">
        <f t="shared" ca="1" si="21"/>
        <v>№</v>
      </c>
    </row>
    <row r="34" spans="9:19">
      <c r="I34" s="9" t="e">
        <f>#REF!&amp;#REF!</f>
        <v>#REF!</v>
      </c>
      <c r="J34" s="9" t="e">
        <f>#REF!&amp;#REF!</f>
        <v>#REF!</v>
      </c>
      <c r="L34" t="str">
        <f t="shared" ca="1" si="14"/>
        <v>№</v>
      </c>
      <c r="M34" t="str">
        <f t="shared" ca="1" si="15"/>
        <v>№</v>
      </c>
      <c r="N34" t="str">
        <f t="shared" ca="1" si="16"/>
        <v>№</v>
      </c>
      <c r="O34" t="str">
        <f t="shared" ca="1" si="17"/>
        <v>№</v>
      </c>
      <c r="P34" t="str">
        <f t="shared" ca="1" si="18"/>
        <v>№</v>
      </c>
      <c r="Q34" t="str">
        <f t="shared" ca="1" si="19"/>
        <v>№</v>
      </c>
      <c r="R34" t="str">
        <f t="shared" ca="1" si="20"/>
        <v>№</v>
      </c>
      <c r="S34" t="str">
        <f t="shared" ca="1" si="21"/>
        <v>№</v>
      </c>
    </row>
    <row r="35" spans="9:19">
      <c r="L35" t="str">
        <f t="shared" ca="1" si="14"/>
        <v>№</v>
      </c>
      <c r="M35" t="str">
        <f t="shared" ca="1" si="15"/>
        <v>№</v>
      </c>
      <c r="N35" t="str">
        <f t="shared" ca="1" si="16"/>
        <v>№</v>
      </c>
      <c r="O35" t="str">
        <f t="shared" ca="1" si="17"/>
        <v>№</v>
      </c>
      <c r="P35" t="str">
        <f t="shared" ca="1" si="18"/>
        <v>№</v>
      </c>
      <c r="Q35" t="str">
        <f t="shared" ca="1" si="19"/>
        <v>№</v>
      </c>
      <c r="R35" t="str">
        <f t="shared" ca="1" si="20"/>
        <v>№</v>
      </c>
      <c r="S35" t="str">
        <f t="shared" ca="1" si="21"/>
        <v>№</v>
      </c>
    </row>
    <row r="36" spans="9:19">
      <c r="I36" s="9" t="e">
        <f>#REF!&amp;#REF!</f>
        <v>#REF!</v>
      </c>
      <c r="J36" s="9" t="e">
        <f>#REF!&amp;#REF!</f>
        <v>#REF!</v>
      </c>
      <c r="L36" t="str">
        <f t="shared" ca="1" si="14"/>
        <v>№</v>
      </c>
      <c r="M36" t="str">
        <f t="shared" ca="1" si="15"/>
        <v>№</v>
      </c>
      <c r="N36" t="str">
        <f t="shared" ca="1" si="16"/>
        <v>№</v>
      </c>
      <c r="O36" t="str">
        <f t="shared" ca="1" si="17"/>
        <v>№</v>
      </c>
      <c r="P36" t="str">
        <f t="shared" ca="1" si="18"/>
        <v>№</v>
      </c>
      <c r="Q36" t="str">
        <f t="shared" ca="1" si="19"/>
        <v>№</v>
      </c>
      <c r="R36" t="str">
        <f t="shared" ca="1" si="20"/>
        <v>№</v>
      </c>
      <c r="S36" t="str">
        <f t="shared" ca="1" si="21"/>
        <v>№</v>
      </c>
    </row>
    <row r="37" spans="9:19">
      <c r="I37" s="9" t="e">
        <f>#REF!&amp;#REF!</f>
        <v>#REF!</v>
      </c>
      <c r="J37" s="9" t="e">
        <f>#REF!&amp;#REF!</f>
        <v>#REF!</v>
      </c>
      <c r="L37" t="str">
        <f t="shared" ca="1" si="14"/>
        <v>№</v>
      </c>
      <c r="M37" t="str">
        <f t="shared" ca="1" si="15"/>
        <v>№</v>
      </c>
      <c r="N37" t="str">
        <f t="shared" ca="1" si="16"/>
        <v>№</v>
      </c>
      <c r="O37" t="str">
        <f t="shared" ca="1" si="17"/>
        <v>№</v>
      </c>
      <c r="P37" t="str">
        <f t="shared" ca="1" si="18"/>
        <v>№</v>
      </c>
      <c r="Q37" t="str">
        <f t="shared" ca="1" si="19"/>
        <v>№</v>
      </c>
      <c r="R37" t="str">
        <f t="shared" ca="1" si="20"/>
        <v>№</v>
      </c>
      <c r="S37" t="str">
        <f t="shared" ca="1" si="21"/>
        <v>№</v>
      </c>
    </row>
    <row r="38" spans="9:19">
      <c r="I38" s="9" t="e">
        <f>#REF!&amp;#REF!</f>
        <v>#REF!</v>
      </c>
      <c r="J38" s="9" t="e">
        <f>#REF!&amp;#REF!</f>
        <v>#REF!</v>
      </c>
      <c r="L38" t="str">
        <f t="shared" ca="1" si="14"/>
        <v>№</v>
      </c>
      <c r="M38" t="str">
        <f t="shared" ca="1" si="15"/>
        <v>№</v>
      </c>
      <c r="N38" t="str">
        <f t="shared" ca="1" si="16"/>
        <v>№</v>
      </c>
      <c r="O38" t="str">
        <f t="shared" ca="1" si="17"/>
        <v>№</v>
      </c>
      <c r="P38" t="str">
        <f t="shared" ca="1" si="18"/>
        <v>№</v>
      </c>
      <c r="Q38" t="str">
        <f t="shared" ca="1" si="19"/>
        <v>№</v>
      </c>
      <c r="R38" t="str">
        <f t="shared" ca="1" si="20"/>
        <v>№</v>
      </c>
      <c r="S38" t="str">
        <f t="shared" ca="1" si="21"/>
        <v>№</v>
      </c>
    </row>
    <row r="39" spans="9:19">
      <c r="I39" s="9" t="e">
        <f>#REF!&amp;#REF!</f>
        <v>#REF!</v>
      </c>
      <c r="J39" s="9" t="e">
        <f>#REF!&amp;#REF!</f>
        <v>#REF!</v>
      </c>
      <c r="L39" t="str">
        <f t="shared" ca="1" si="14"/>
        <v>№</v>
      </c>
      <c r="M39" t="str">
        <f t="shared" ca="1" si="15"/>
        <v>№</v>
      </c>
      <c r="N39" t="str">
        <f t="shared" ca="1" si="16"/>
        <v>№</v>
      </c>
      <c r="O39" t="str">
        <f t="shared" ca="1" si="17"/>
        <v>№</v>
      </c>
      <c r="P39" t="str">
        <f t="shared" ca="1" si="18"/>
        <v>№</v>
      </c>
      <c r="Q39" t="str">
        <f t="shared" ca="1" si="19"/>
        <v>№</v>
      </c>
      <c r="R39" t="str">
        <f t="shared" ca="1" si="20"/>
        <v>№</v>
      </c>
      <c r="S39" t="str">
        <f t="shared" ca="1" si="21"/>
        <v>№</v>
      </c>
    </row>
    <row r="40" spans="9:19">
      <c r="I40" s="9" t="e">
        <f>#REF!&amp;#REF!</f>
        <v>#REF!</v>
      </c>
      <c r="J40" s="9" t="e">
        <f>#REF!&amp;#REF!</f>
        <v>#REF!</v>
      </c>
      <c r="L40" t="str">
        <f t="shared" ca="1" si="14"/>
        <v>№</v>
      </c>
      <c r="M40" t="str">
        <f t="shared" ca="1" si="15"/>
        <v>№</v>
      </c>
      <c r="N40" t="str">
        <f t="shared" ca="1" si="16"/>
        <v>№</v>
      </c>
      <c r="O40" t="str">
        <f t="shared" ca="1" si="17"/>
        <v>№</v>
      </c>
      <c r="P40" t="str">
        <f t="shared" ca="1" si="18"/>
        <v>№</v>
      </c>
      <c r="Q40" t="str">
        <f t="shared" ca="1" si="19"/>
        <v>№</v>
      </c>
      <c r="R40" t="str">
        <f t="shared" ca="1" si="20"/>
        <v>№</v>
      </c>
      <c r="S40" t="str">
        <f t="shared" ca="1" si="21"/>
        <v>№</v>
      </c>
    </row>
    <row r="41" spans="9:19">
      <c r="L41" t="str">
        <f t="shared" ca="1" si="14"/>
        <v>№</v>
      </c>
      <c r="M41" t="str">
        <f t="shared" ca="1" si="15"/>
        <v>№</v>
      </c>
      <c r="N41" t="str">
        <f t="shared" ca="1" si="16"/>
        <v>№</v>
      </c>
      <c r="O41" t="str">
        <f t="shared" ca="1" si="17"/>
        <v>№</v>
      </c>
      <c r="P41" t="str">
        <f t="shared" ca="1" si="18"/>
        <v>№</v>
      </c>
      <c r="Q41" t="str">
        <f t="shared" ca="1" si="19"/>
        <v>№</v>
      </c>
      <c r="R41" t="str">
        <f t="shared" ca="1" si="20"/>
        <v>№</v>
      </c>
      <c r="S41" t="str">
        <f t="shared" ca="1" si="21"/>
        <v>№</v>
      </c>
    </row>
    <row r="42" spans="9:19">
      <c r="I42" s="9" t="e">
        <f>#REF!&amp;#REF!</f>
        <v>#REF!</v>
      </c>
      <c r="J42" s="9" t="e">
        <f>#REF!&amp;#REF!</f>
        <v>#REF!</v>
      </c>
      <c r="L42" t="str">
        <f t="shared" ca="1" si="14"/>
        <v>№</v>
      </c>
      <c r="M42" t="str">
        <f t="shared" ca="1" si="15"/>
        <v>№</v>
      </c>
      <c r="N42" t="str">
        <f t="shared" ca="1" si="16"/>
        <v>№</v>
      </c>
      <c r="O42" t="str">
        <f t="shared" ca="1" si="17"/>
        <v>№</v>
      </c>
      <c r="P42" t="str">
        <f t="shared" ca="1" si="18"/>
        <v>№</v>
      </c>
      <c r="Q42" t="str">
        <f t="shared" ca="1" si="19"/>
        <v>№</v>
      </c>
      <c r="R42" t="str">
        <f t="shared" ca="1" si="20"/>
        <v>№</v>
      </c>
      <c r="S42" t="str">
        <f t="shared" ca="1" si="21"/>
        <v>№</v>
      </c>
    </row>
    <row r="43" spans="9:19">
      <c r="I43" s="9" t="e">
        <f>#REF!&amp;#REF!</f>
        <v>#REF!</v>
      </c>
      <c r="J43" s="9" t="e">
        <f>#REF!&amp;#REF!</f>
        <v>#REF!</v>
      </c>
      <c r="L43" t="str">
        <f t="shared" ca="1" si="14"/>
        <v>№</v>
      </c>
      <c r="M43" t="str">
        <f t="shared" ca="1" si="15"/>
        <v>№</v>
      </c>
      <c r="N43" t="str">
        <f t="shared" ca="1" si="16"/>
        <v>№</v>
      </c>
      <c r="O43" t="str">
        <f t="shared" ca="1" si="17"/>
        <v>№</v>
      </c>
      <c r="P43" t="str">
        <f t="shared" ca="1" si="18"/>
        <v>№</v>
      </c>
      <c r="Q43" t="str">
        <f t="shared" ca="1" si="19"/>
        <v>№</v>
      </c>
      <c r="R43" t="str">
        <f t="shared" ca="1" si="20"/>
        <v>№</v>
      </c>
      <c r="S43" t="str">
        <f t="shared" ca="1" si="21"/>
        <v>№</v>
      </c>
    </row>
    <row r="44" spans="9:19">
      <c r="I44" s="9" t="e">
        <f>#REF!&amp;#REF!</f>
        <v>#REF!</v>
      </c>
      <c r="J44" s="9" t="e">
        <f>#REF!&amp;#REF!</f>
        <v>#REF!</v>
      </c>
    </row>
    <row r="45" spans="9:19">
      <c r="I45" s="9" t="e">
        <f>#REF!&amp;#REF!</f>
        <v>#REF!</v>
      </c>
      <c r="J45" s="9" t="e">
        <f>#REF!&amp;#REF!</f>
        <v>#REF!</v>
      </c>
    </row>
    <row r="46" spans="9:19">
      <c r="I46" s="9" t="e">
        <f>#REF!&amp;#REF!</f>
        <v>#REF!</v>
      </c>
      <c r="J46" s="9" t="e">
        <f>#REF!&amp;#REF!</f>
        <v>#REF!</v>
      </c>
    </row>
    <row r="48" spans="9:19">
      <c r="I48" s="9" t="e">
        <f>#REF!&amp;#REF!</f>
        <v>#REF!</v>
      </c>
      <c r="J48" s="9" t="e">
        <f>#REF!&amp;#REF!</f>
        <v>#REF!</v>
      </c>
    </row>
    <row r="49" spans="9:10">
      <c r="I49" s="9" t="e">
        <f>#REF!&amp;#REF!</f>
        <v>#REF!</v>
      </c>
      <c r="J49" s="9" t="e">
        <f>#REF!&amp;#REF!</f>
        <v>#REF!</v>
      </c>
    </row>
    <row r="50" spans="9:10">
      <c r="I50" s="9" t="e">
        <f>#REF!&amp;#REF!</f>
        <v>#REF!</v>
      </c>
      <c r="J50" s="9" t="e">
        <f>#REF!&amp;#REF!</f>
        <v>#REF!</v>
      </c>
    </row>
    <row r="51" spans="9:10">
      <c r="I51" s="9" t="e">
        <f>#REF!&amp;#REF!</f>
        <v>#REF!</v>
      </c>
      <c r="J51" s="9" t="e">
        <f>#REF!&amp;#REF!</f>
        <v>#REF!</v>
      </c>
    </row>
    <row r="52" spans="9:10">
      <c r="I52" s="9" t="e">
        <f>#REF!&amp;#REF!</f>
        <v>#REF!</v>
      </c>
      <c r="J52" s="9" t="e">
        <f>#REF!&amp;#REF!</f>
        <v>#REF!</v>
      </c>
    </row>
    <row r="54" spans="9:10">
      <c r="I54" s="9" t="e">
        <f>#REF!&amp;#REF!</f>
        <v>#REF!</v>
      </c>
      <c r="J54" s="9" t="e">
        <f>#REF!&amp;#REF!</f>
        <v>#REF!</v>
      </c>
    </row>
    <row r="55" spans="9:10">
      <c r="I55" s="9" t="e">
        <f>#REF!&amp;#REF!</f>
        <v>#REF!</v>
      </c>
      <c r="J55" s="9" t="e">
        <f>#REF!&amp;#REF!</f>
        <v>#REF!</v>
      </c>
    </row>
    <row r="56" spans="9:10">
      <c r="I56" s="9" t="e">
        <f>#REF!&amp;#REF!</f>
        <v>#REF!</v>
      </c>
      <c r="J56" s="9" t="e">
        <f>#REF!&amp;#REF!</f>
        <v>#REF!</v>
      </c>
    </row>
    <row r="57" spans="9:10">
      <c r="I57" s="9" t="e">
        <f>#REF!&amp;#REF!</f>
        <v>#REF!</v>
      </c>
      <c r="J57" s="9" t="e">
        <f>#REF!&amp;#REF!</f>
        <v>#REF!</v>
      </c>
    </row>
    <row r="58" spans="9:10">
      <c r="I58" s="9" t="e">
        <f>#REF!&amp;#REF!</f>
        <v>#REF!</v>
      </c>
      <c r="J58" s="9" t="e">
        <f>#REF!&amp;#REF!</f>
        <v>#REF!</v>
      </c>
    </row>
    <row r="60" spans="9:10">
      <c r="I60" s="9" t="e">
        <f>#REF!&amp;#REF!</f>
        <v>#REF!</v>
      </c>
      <c r="J60" s="9" t="e">
        <f>#REF!&amp;#REF!</f>
        <v>#REF!</v>
      </c>
    </row>
    <row r="61" spans="9:10">
      <c r="I61" s="9" t="e">
        <f>#REF!&amp;#REF!</f>
        <v>#REF!</v>
      </c>
      <c r="J61" s="9" t="e">
        <f>#REF!&amp;#REF!</f>
        <v>#REF!</v>
      </c>
    </row>
    <row r="62" spans="9:10">
      <c r="I62" s="9" t="e">
        <f>#REF!&amp;#REF!</f>
        <v>#REF!</v>
      </c>
      <c r="J62" s="9" t="e">
        <f>#REF!&amp;#REF!</f>
        <v>#REF!</v>
      </c>
    </row>
    <row r="63" spans="9:10">
      <c r="I63" s="9" t="e">
        <f>#REF!&amp;#REF!</f>
        <v>#REF!</v>
      </c>
      <c r="J63" s="9" t="e">
        <f>#REF!&amp;#REF!</f>
        <v>#REF!</v>
      </c>
    </row>
    <row r="67" spans="12:12">
      <c r="L67" t="s">
        <v>10</v>
      </c>
    </row>
  </sheetData>
  <sheetCalcPr fullCalcOnLoad="1"/>
  <phoneticPr fontId="0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C000"/>
  </sheetPr>
  <dimension ref="A1:K27"/>
  <sheetViews>
    <sheetView zoomScaleNormal="100" workbookViewId="0">
      <selection activeCell="K33" sqref="K33"/>
    </sheetView>
  </sheetViews>
  <sheetFormatPr defaultRowHeight="15"/>
  <cols>
    <col min="2" max="2" width="23.7109375" customWidth="1"/>
    <col min="3" max="3" width="22.42578125" customWidth="1"/>
    <col min="4" max="4" width="36.7109375" customWidth="1"/>
  </cols>
  <sheetData>
    <row r="1" spans="1:11" ht="54" customHeight="1">
      <c r="A1" s="120" t="s">
        <v>18</v>
      </c>
      <c r="B1" s="120"/>
      <c r="C1" s="120"/>
      <c r="D1" s="120"/>
      <c r="E1" s="52"/>
      <c r="F1" s="52"/>
      <c r="G1" s="52"/>
      <c r="H1" s="52"/>
      <c r="I1" s="52"/>
      <c r="J1" s="52"/>
      <c r="K1" s="52"/>
    </row>
    <row r="2" spans="1:11" ht="102.75" customHeight="1">
      <c r="A2" s="121" t="s">
        <v>90</v>
      </c>
      <c r="B2" s="121"/>
      <c r="C2" s="121"/>
      <c r="D2" s="121"/>
      <c r="E2" s="53"/>
      <c r="F2" s="53"/>
      <c r="G2" s="54"/>
      <c r="H2" s="54"/>
      <c r="I2" s="54"/>
      <c r="J2" s="54"/>
    </row>
    <row r="3" spans="1:11" ht="15.75" thickBot="1"/>
    <row r="4" spans="1:11">
      <c r="A4" s="55" t="s">
        <v>19</v>
      </c>
      <c r="B4" s="56" t="s">
        <v>20</v>
      </c>
      <c r="C4" s="57" t="s">
        <v>21</v>
      </c>
      <c r="D4" s="58" t="s">
        <v>22</v>
      </c>
    </row>
    <row r="5" spans="1:11">
      <c r="A5" s="59">
        <v>1</v>
      </c>
      <c r="B5" s="60" t="s">
        <v>60</v>
      </c>
      <c r="C5" s="61" t="s">
        <v>40</v>
      </c>
      <c r="D5" s="62">
        <v>20</v>
      </c>
      <c r="F5" s="68"/>
      <c r="G5" s="68"/>
      <c r="H5" s="68"/>
      <c r="I5" s="68"/>
    </row>
    <row r="6" spans="1:11">
      <c r="A6" s="59">
        <v>2</v>
      </c>
      <c r="B6" s="67" t="s">
        <v>38</v>
      </c>
      <c r="C6" s="61" t="s">
        <v>23</v>
      </c>
      <c r="D6" s="62">
        <v>17</v>
      </c>
      <c r="F6" s="69"/>
      <c r="G6" s="68"/>
      <c r="H6" s="68"/>
      <c r="I6" s="68"/>
    </row>
    <row r="7" spans="1:11">
      <c r="A7" s="59">
        <v>3</v>
      </c>
      <c r="B7" s="60" t="s">
        <v>15</v>
      </c>
      <c r="C7" s="61" t="s">
        <v>24</v>
      </c>
      <c r="D7" s="62">
        <v>15</v>
      </c>
      <c r="F7" s="68"/>
      <c r="G7" s="68"/>
      <c r="H7" s="68"/>
      <c r="I7" s="68"/>
    </row>
    <row r="8" spans="1:11">
      <c r="A8" s="59">
        <v>4</v>
      </c>
      <c r="B8" s="60" t="s">
        <v>61</v>
      </c>
      <c r="C8" s="61" t="s">
        <v>42</v>
      </c>
      <c r="D8" s="62">
        <v>14</v>
      </c>
      <c r="F8" s="68"/>
      <c r="G8" s="68"/>
      <c r="H8" s="68"/>
      <c r="I8" s="68"/>
    </row>
    <row r="9" spans="1:11">
      <c r="A9" s="59">
        <v>5</v>
      </c>
      <c r="B9" s="87" t="s">
        <v>65</v>
      </c>
      <c r="C9" s="61" t="s">
        <v>40</v>
      </c>
      <c r="D9" s="62">
        <v>13</v>
      </c>
      <c r="F9" s="68"/>
      <c r="G9" s="68"/>
      <c r="H9" s="68"/>
      <c r="I9" s="68"/>
    </row>
    <row r="10" spans="1:11">
      <c r="A10" s="59">
        <v>6</v>
      </c>
      <c r="B10" s="60" t="s">
        <v>46</v>
      </c>
      <c r="C10" s="61" t="s">
        <v>40</v>
      </c>
      <c r="D10" s="62">
        <v>12</v>
      </c>
      <c r="F10" s="68"/>
      <c r="G10" s="68"/>
      <c r="H10" s="68"/>
      <c r="I10" s="68"/>
    </row>
    <row r="11" spans="1:11">
      <c r="A11" s="59">
        <v>7</v>
      </c>
      <c r="B11" s="60" t="s">
        <v>62</v>
      </c>
      <c r="C11" s="61" t="s">
        <v>40</v>
      </c>
      <c r="D11" s="62">
        <v>11</v>
      </c>
      <c r="F11" s="68"/>
      <c r="G11" s="68"/>
      <c r="H11" s="68"/>
      <c r="I11" s="68"/>
    </row>
    <row r="12" spans="1:11">
      <c r="A12" s="59">
        <v>8</v>
      </c>
      <c r="B12" s="60" t="s">
        <v>63</v>
      </c>
      <c r="C12" s="61" t="s">
        <v>40</v>
      </c>
      <c r="D12" s="62">
        <v>10</v>
      </c>
      <c r="F12" s="68"/>
      <c r="G12" s="68"/>
      <c r="H12" s="68"/>
      <c r="I12" s="68"/>
    </row>
    <row r="13" spans="1:11" ht="15.75" thickBot="1">
      <c r="A13" s="63">
        <v>9</v>
      </c>
      <c r="B13" s="64" t="s">
        <v>64</v>
      </c>
      <c r="C13" s="65" t="s">
        <v>40</v>
      </c>
      <c r="D13" s="66">
        <v>9</v>
      </c>
      <c r="F13" s="68"/>
      <c r="G13" s="68"/>
      <c r="H13" s="68"/>
      <c r="I13" s="68"/>
    </row>
    <row r="14" spans="1:11">
      <c r="F14" s="68"/>
      <c r="G14" s="68"/>
      <c r="H14" s="68"/>
      <c r="I14" s="68"/>
    </row>
    <row r="15" spans="1:11" ht="21">
      <c r="E15" s="50"/>
      <c r="F15" s="68"/>
      <c r="G15" s="68"/>
      <c r="H15" s="68"/>
      <c r="I15" s="68"/>
    </row>
    <row r="16" spans="1:11" ht="21">
      <c r="A16" s="39"/>
      <c r="B16" s="50" t="s">
        <v>17</v>
      </c>
      <c r="C16" s="50"/>
      <c r="D16" s="50"/>
      <c r="E16" s="50"/>
      <c r="F16" s="68"/>
      <c r="G16" s="68"/>
      <c r="H16" s="68"/>
      <c r="I16" s="68"/>
    </row>
    <row r="17" spans="1:9" ht="21">
      <c r="A17" s="39"/>
      <c r="B17" s="50"/>
      <c r="C17" s="50"/>
      <c r="D17" s="50"/>
      <c r="E17" s="50"/>
      <c r="F17" s="68"/>
      <c r="G17" s="68"/>
      <c r="H17" s="68"/>
      <c r="I17" s="68"/>
    </row>
    <row r="18" spans="1:9" ht="21">
      <c r="A18" s="39"/>
      <c r="B18" s="50"/>
      <c r="C18" s="50"/>
      <c r="D18" s="50"/>
      <c r="E18" s="50"/>
      <c r="F18" s="68"/>
      <c r="G18" s="68"/>
      <c r="H18" s="68"/>
      <c r="I18" s="68"/>
    </row>
    <row r="19" spans="1:9" ht="21">
      <c r="A19" s="39"/>
      <c r="B19" s="50" t="s">
        <v>33</v>
      </c>
      <c r="C19" s="50"/>
      <c r="D19" s="50"/>
      <c r="E19" s="50"/>
      <c r="F19" s="68"/>
      <c r="G19" s="68"/>
      <c r="H19" s="68"/>
      <c r="I19" s="68"/>
    </row>
    <row r="20" spans="1:9">
      <c r="F20" s="68"/>
      <c r="G20" s="68"/>
      <c r="H20" s="68"/>
      <c r="I20" s="68"/>
    </row>
    <row r="21" spans="1:9">
      <c r="F21" s="68"/>
      <c r="G21" s="68"/>
      <c r="H21" s="68"/>
      <c r="I21" s="68"/>
    </row>
    <row r="23" spans="1:9" ht="21">
      <c r="F23" s="50"/>
      <c r="G23" s="50"/>
      <c r="H23" s="51"/>
    </row>
    <row r="24" spans="1:9" ht="15" customHeight="1">
      <c r="F24" s="50"/>
      <c r="G24" s="50"/>
      <c r="H24" s="51"/>
    </row>
    <row r="25" spans="1:9" ht="15" customHeight="1">
      <c r="F25" s="50"/>
      <c r="G25" s="50"/>
      <c r="H25" s="51"/>
    </row>
    <row r="26" spans="1:9" ht="21">
      <c r="F26" s="50"/>
      <c r="G26" s="50"/>
      <c r="H26" s="51"/>
    </row>
    <row r="27" spans="1:9" ht="21">
      <c r="F27" s="50"/>
      <c r="G27" s="51"/>
    </row>
  </sheetData>
  <mergeCells count="2">
    <mergeCell ref="A1:D1"/>
    <mergeCell ref="A2:D2"/>
  </mergeCells>
  <phoneticPr fontId="0" type="noConversion"/>
  <pageMargins left="0.75" right="0.49" top="0.7" bottom="1" header="0.5" footer="0.5"/>
  <pageSetup paperSize="9"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48"/>
  <sheetViews>
    <sheetView workbookViewId="0">
      <selection activeCell="J48" sqref="A44:J48"/>
    </sheetView>
  </sheetViews>
  <sheetFormatPr defaultRowHeight="15"/>
  <cols>
    <col min="1" max="1" width="4" style="39" customWidth="1"/>
    <col min="2" max="12" width="10.28515625" customWidth="1"/>
    <col min="13" max="13" width="10.28515625" style="33" customWidth="1"/>
    <col min="14" max="15" width="10.28515625" customWidth="1"/>
  </cols>
  <sheetData>
    <row r="1" spans="2:18" ht="38.25" customHeight="1">
      <c r="B1" s="139" t="s">
        <v>66</v>
      </c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89"/>
      <c r="P1" s="89"/>
      <c r="Q1" s="89"/>
      <c r="R1" s="89"/>
    </row>
    <row r="2" spans="2:18" ht="15.75" thickBot="1">
      <c r="M2"/>
    </row>
    <row r="3" spans="2:18" ht="30" customHeight="1" thickBot="1">
      <c r="B3" s="23"/>
      <c r="C3" s="140" t="s">
        <v>0</v>
      </c>
      <c r="D3" s="116"/>
      <c r="E3" s="117"/>
      <c r="F3" s="1">
        <v>1</v>
      </c>
      <c r="G3" s="1">
        <v>2</v>
      </c>
      <c r="H3" s="1">
        <v>3</v>
      </c>
      <c r="I3" s="2">
        <v>4</v>
      </c>
      <c r="J3" s="2">
        <v>5</v>
      </c>
      <c r="K3" s="2">
        <v>6</v>
      </c>
      <c r="L3" s="3" t="s">
        <v>1</v>
      </c>
      <c r="M3" s="1" t="s">
        <v>3</v>
      </c>
      <c r="N3" s="4" t="s">
        <v>2</v>
      </c>
    </row>
    <row r="4" spans="2:18" ht="24" customHeight="1">
      <c r="B4" s="141">
        <v>1</v>
      </c>
      <c r="C4" s="142" t="s">
        <v>37</v>
      </c>
      <c r="D4" s="143"/>
      <c r="E4" s="144"/>
      <c r="F4" s="10" t="s">
        <v>7</v>
      </c>
      <c r="G4" s="6" t="str">
        <f ca="1">INDIRECT(ADDRESS(27,6))&amp;":"&amp;INDIRECT(ADDRESS(27,7))</f>
        <v>13:9</v>
      </c>
      <c r="H4" s="6" t="str">
        <f ca="1">INDIRECT(ADDRESS(31,7))&amp;":"&amp;INDIRECT(ADDRESS(31,6))</f>
        <v>13:12</v>
      </c>
      <c r="I4" s="6" t="str">
        <f ca="1">INDIRECT(ADDRESS(36,6))&amp;":"&amp;INDIRECT(ADDRESS(36,7))</f>
        <v>13:0</v>
      </c>
      <c r="J4" s="6" t="str">
        <f ca="1">INDIRECT(ADDRESS(42,7))&amp;":"&amp;INDIRECT(ADDRESS(42,6))</f>
        <v>13:4</v>
      </c>
      <c r="K4" s="21" t="str">
        <f ca="1">INDIRECT(ADDRESS(20,6))&amp;":"&amp;INDIRECT(ADDRESS(20,7))</f>
        <v>13:4</v>
      </c>
      <c r="L4" s="145">
        <f ca="1">IF(COUNT(F5:K5)=0,"",COUNTIF(F5:K5,"&gt;0")+0.5*COUNTIF(F5:K5,0))</f>
        <v>5</v>
      </c>
      <c r="M4" s="88"/>
      <c r="N4" s="146">
        <v>1</v>
      </c>
    </row>
    <row r="5" spans="2:18" ht="24" customHeight="1">
      <c r="B5" s="138"/>
      <c r="C5" s="129"/>
      <c r="D5" s="130"/>
      <c r="E5" s="131"/>
      <c r="F5" s="14" t="s">
        <v>7</v>
      </c>
      <c r="G5" s="17">
        <f ca="1">IF(LEN(INDIRECT(ADDRESS(ROW()-1, COLUMN())))=1,"",INDIRECT(ADDRESS(27,6))-INDIRECT(ADDRESS(27,7)))</f>
        <v>4</v>
      </c>
      <c r="H5" s="17">
        <f ca="1">IF(LEN(INDIRECT(ADDRESS(ROW()-1, COLUMN())))=1,"",INDIRECT(ADDRESS(31,7))-INDIRECT(ADDRESS(31,6)))</f>
        <v>1</v>
      </c>
      <c r="I5" s="17">
        <f ca="1">IF(LEN(INDIRECT(ADDRESS(ROW()-1, COLUMN())))=1,"",INDIRECT(ADDRESS(36,6))-INDIRECT(ADDRESS(36,7)))</f>
        <v>13</v>
      </c>
      <c r="J5" s="17">
        <f ca="1">IF(LEN(INDIRECT(ADDRESS(ROW()-1, COLUMN())))=1,"",INDIRECT(ADDRESS(42,7))-INDIRECT(ADDRESS(42,6)))</f>
        <v>9</v>
      </c>
      <c r="K5" s="18">
        <f ca="1">IF(LEN(INDIRECT(ADDRESS(ROW()-1, COLUMN())))=1,"",INDIRECT(ADDRESS(20,6))-INDIRECT(ADDRESS(20,7)))</f>
        <v>9</v>
      </c>
      <c r="L5" s="135"/>
      <c r="M5" s="17">
        <f ca="1">IF(COUNT(F5:K5)=0,"",SUM(F5:K5))</f>
        <v>36</v>
      </c>
      <c r="N5" s="126"/>
    </row>
    <row r="6" spans="2:18" ht="24" customHeight="1">
      <c r="B6" s="127">
        <v>2</v>
      </c>
      <c r="C6" s="129" t="s">
        <v>45</v>
      </c>
      <c r="D6" s="130"/>
      <c r="E6" s="131"/>
      <c r="F6" s="12" t="str">
        <f ca="1">INDIRECT(ADDRESS(27,7))&amp;":"&amp;INDIRECT(ADDRESS(27,6))</f>
        <v>9:13</v>
      </c>
      <c r="G6" s="8" t="s">
        <v>7</v>
      </c>
      <c r="H6" s="7" t="str">
        <f ca="1">INDIRECT(ADDRESS(37,6))&amp;":"&amp;INDIRECT(ADDRESS(37,7))</f>
        <v>7:13</v>
      </c>
      <c r="I6" s="7" t="str">
        <f ca="1">INDIRECT(ADDRESS(41,7))&amp;":"&amp;INDIRECT(ADDRESS(41,6))</f>
        <v>13:5</v>
      </c>
      <c r="J6" s="7" t="str">
        <f ca="1">INDIRECT(ADDRESS(21,6))&amp;":"&amp;INDIRECT(ADDRESS(21,7))</f>
        <v>13:6</v>
      </c>
      <c r="K6" s="11" t="str">
        <f ca="1">INDIRECT(ADDRESS(30,6))&amp;":"&amp;INDIRECT(ADDRESS(30,7))</f>
        <v>13:1</v>
      </c>
      <c r="L6" s="135">
        <f ca="1">IF(COUNT(F7:K7)=0,"",COUNTIF(F7:K7,"&gt;0")+0.5*COUNTIF(F7:K7,0))</f>
        <v>3</v>
      </c>
      <c r="M6" s="17"/>
      <c r="N6" s="125">
        <v>3</v>
      </c>
    </row>
    <row r="7" spans="2:18" ht="24" customHeight="1">
      <c r="B7" s="138"/>
      <c r="C7" s="129"/>
      <c r="D7" s="130"/>
      <c r="E7" s="131"/>
      <c r="F7" s="22">
        <f ca="1">IF(LEN(INDIRECT(ADDRESS(ROW()-1, COLUMN())))=1,"",INDIRECT(ADDRESS(27,7))-INDIRECT(ADDRESS(27,6)))</f>
        <v>-4</v>
      </c>
      <c r="G7" s="15" t="s">
        <v>7</v>
      </c>
      <c r="H7" s="17">
        <f ca="1">IF(LEN(INDIRECT(ADDRESS(ROW()-1, COLUMN())))=1,"",INDIRECT(ADDRESS(37,6))-INDIRECT(ADDRESS(37,7)))</f>
        <v>-6</v>
      </c>
      <c r="I7" s="17">
        <f ca="1">IF(LEN(INDIRECT(ADDRESS(ROW()-1, COLUMN())))=1,"",INDIRECT(ADDRESS(41,7))-INDIRECT(ADDRESS(41,6)))</f>
        <v>8</v>
      </c>
      <c r="J7" s="17">
        <f ca="1">IF(LEN(INDIRECT(ADDRESS(ROW()-1, COLUMN())))=1,"",INDIRECT(ADDRESS(21,6))-INDIRECT(ADDRESS(21,7)))</f>
        <v>7</v>
      </c>
      <c r="K7" s="18">
        <f ca="1">IF(LEN(INDIRECT(ADDRESS(ROW()-1, COLUMN())))=1,"",INDIRECT(ADDRESS(30,6))-INDIRECT(ADDRESS(30,7)))</f>
        <v>12</v>
      </c>
      <c r="L7" s="135"/>
      <c r="M7" s="17">
        <f ca="1">IF(COUNT(F7:K7)=0,"",SUM(F7:K7))</f>
        <v>17</v>
      </c>
      <c r="N7" s="126"/>
    </row>
    <row r="8" spans="2:18" ht="24" customHeight="1">
      <c r="B8" s="127">
        <v>3</v>
      </c>
      <c r="C8" s="129" t="s">
        <v>41</v>
      </c>
      <c r="D8" s="130"/>
      <c r="E8" s="131"/>
      <c r="F8" s="12" t="str">
        <f ca="1">INDIRECT(ADDRESS(31,6))&amp;":"&amp;INDIRECT(ADDRESS(31,7))</f>
        <v>12:13</v>
      </c>
      <c r="G8" s="7" t="str">
        <f ca="1">INDIRECT(ADDRESS(37,7))&amp;":"&amp;INDIRECT(ADDRESS(37,6))</f>
        <v>13:7</v>
      </c>
      <c r="H8" s="8" t="s">
        <v>7</v>
      </c>
      <c r="I8" s="7" t="str">
        <f ca="1">INDIRECT(ADDRESS(22,6))&amp;":"&amp;INDIRECT(ADDRESS(22,7))</f>
        <v>13:3</v>
      </c>
      <c r="J8" s="7" t="str">
        <f ca="1">INDIRECT(ADDRESS(26,7))&amp;":"&amp;INDIRECT(ADDRESS(26,6))</f>
        <v>13:8</v>
      </c>
      <c r="K8" s="11" t="str">
        <f ca="1">INDIRECT(ADDRESS(40,6))&amp;":"&amp;INDIRECT(ADDRESS(40,7))</f>
        <v>13:1</v>
      </c>
      <c r="L8" s="135">
        <f ca="1">IF(COUNT(F9:K9)=0,"",COUNTIF(F9:K9,"&gt;0")+0.5*COUNTIF(F9:K9,0))</f>
        <v>4</v>
      </c>
      <c r="M8" s="17"/>
      <c r="N8" s="125">
        <v>2</v>
      </c>
    </row>
    <row r="9" spans="2:18" ht="24" customHeight="1">
      <c r="B9" s="138"/>
      <c r="C9" s="129"/>
      <c r="D9" s="130"/>
      <c r="E9" s="131"/>
      <c r="F9" s="22">
        <f ca="1">IF(LEN(INDIRECT(ADDRESS(ROW()-1, COLUMN())))=1,"",INDIRECT(ADDRESS(31,6))-INDIRECT(ADDRESS(31,7)))</f>
        <v>-1</v>
      </c>
      <c r="G9" s="17">
        <f ca="1">IF(LEN(INDIRECT(ADDRESS(ROW()-1, COLUMN())))=1,"",INDIRECT(ADDRESS(37,7))-INDIRECT(ADDRESS(37,6)))</f>
        <v>6</v>
      </c>
      <c r="H9" s="15" t="s">
        <v>7</v>
      </c>
      <c r="I9" s="17">
        <f ca="1">IF(LEN(INDIRECT(ADDRESS(ROW()-1, COLUMN())))=1,"",INDIRECT(ADDRESS(22,6))-INDIRECT(ADDRESS(22,7)))</f>
        <v>10</v>
      </c>
      <c r="J9" s="17">
        <f ca="1">IF(LEN(INDIRECT(ADDRESS(ROW()-1, COLUMN())))=1,"",INDIRECT(ADDRESS(26,7))-INDIRECT(ADDRESS(26,6)))</f>
        <v>5</v>
      </c>
      <c r="K9" s="18">
        <f ca="1">IF(LEN(INDIRECT(ADDRESS(ROW()-1, COLUMN())))=1,"",INDIRECT(ADDRESS(40,6))-INDIRECT(ADDRESS(40,7)))</f>
        <v>12</v>
      </c>
      <c r="L9" s="135"/>
      <c r="M9" s="17">
        <f ca="1">IF(COUNT(F9:K9)=0,"",SUM(F9:K9))</f>
        <v>32</v>
      </c>
      <c r="N9" s="126"/>
    </row>
    <row r="10" spans="2:18" ht="24" customHeight="1">
      <c r="B10" s="127">
        <v>4</v>
      </c>
      <c r="C10" s="129" t="s">
        <v>71</v>
      </c>
      <c r="D10" s="130"/>
      <c r="E10" s="131"/>
      <c r="F10" s="12" t="str">
        <f ca="1">INDIRECT(ADDRESS(36,7))&amp;":"&amp;INDIRECT(ADDRESS(36,6))</f>
        <v>0:13</v>
      </c>
      <c r="G10" s="7" t="str">
        <f ca="1">INDIRECT(ADDRESS(41,6))&amp;":"&amp;INDIRECT(ADDRESS(41,7))</f>
        <v>5:13</v>
      </c>
      <c r="H10" s="7" t="str">
        <f ca="1">INDIRECT(ADDRESS(22,7))&amp;":"&amp;INDIRECT(ADDRESS(22,6))</f>
        <v>3:13</v>
      </c>
      <c r="I10" s="8" t="s">
        <v>7</v>
      </c>
      <c r="J10" s="7" t="str">
        <f ca="1">INDIRECT(ADDRESS(32,6))&amp;":"&amp;INDIRECT(ADDRESS(32,7))</f>
        <v>3:13</v>
      </c>
      <c r="K10" s="11" t="str">
        <f ca="1">INDIRECT(ADDRESS(25,7))&amp;":"&amp;INDIRECT(ADDRESS(25,6))</f>
        <v>13:5</v>
      </c>
      <c r="L10" s="135">
        <f ca="1">IF(COUNT(F11:K11)=0,"",COUNTIF(F11:K11,"&gt;0")+0.5*COUNTIF(F11:K11,0))</f>
        <v>1</v>
      </c>
      <c r="M10" s="17"/>
      <c r="N10" s="125">
        <v>5</v>
      </c>
    </row>
    <row r="11" spans="2:18" ht="24" customHeight="1">
      <c r="B11" s="138"/>
      <c r="C11" s="129"/>
      <c r="D11" s="130"/>
      <c r="E11" s="131"/>
      <c r="F11" s="22">
        <f ca="1">IF(LEN(INDIRECT(ADDRESS(ROW()-1, COLUMN())))=1,"",INDIRECT(ADDRESS(36,7))-INDIRECT(ADDRESS(36,6)))</f>
        <v>-13</v>
      </c>
      <c r="G11" s="17">
        <f ca="1">IF(LEN(INDIRECT(ADDRESS(ROW()-1, COLUMN())))=1,"",INDIRECT(ADDRESS(41,6))-INDIRECT(ADDRESS(41,7)))</f>
        <v>-8</v>
      </c>
      <c r="H11" s="17">
        <f ca="1">IF(LEN(INDIRECT(ADDRESS(ROW()-1, COLUMN())))=1,"",INDIRECT(ADDRESS(22,7))-INDIRECT(ADDRESS(22,6)))</f>
        <v>-10</v>
      </c>
      <c r="I11" s="15" t="s">
        <v>7</v>
      </c>
      <c r="J11" s="17">
        <f ca="1">IF(LEN(INDIRECT(ADDRESS(ROW()-1, COLUMN())))=1,"",INDIRECT(ADDRESS(32,6))-INDIRECT(ADDRESS(32,7)))</f>
        <v>-10</v>
      </c>
      <c r="K11" s="18">
        <f ca="1">IF(LEN(INDIRECT(ADDRESS(ROW()-1, COLUMN())))=1,"",INDIRECT(ADDRESS(25,7))-INDIRECT(ADDRESS(25,6)))</f>
        <v>8</v>
      </c>
      <c r="L11" s="135"/>
      <c r="M11" s="17">
        <f ca="1">IF(COUNT(F11:K11)=0,"",SUM(F11:K11))</f>
        <v>-33</v>
      </c>
      <c r="N11" s="126"/>
    </row>
    <row r="12" spans="2:18" ht="24" customHeight="1">
      <c r="B12" s="127">
        <v>5</v>
      </c>
      <c r="C12" s="129" t="s">
        <v>69</v>
      </c>
      <c r="D12" s="130"/>
      <c r="E12" s="131"/>
      <c r="F12" s="12" t="str">
        <f ca="1">INDIRECT(ADDRESS(42,6))&amp;":"&amp;INDIRECT(ADDRESS(42,7))</f>
        <v>4:13</v>
      </c>
      <c r="G12" s="7" t="str">
        <f ca="1">INDIRECT(ADDRESS(21,7))&amp;":"&amp;INDIRECT(ADDRESS(21,6))</f>
        <v>6:13</v>
      </c>
      <c r="H12" s="7" t="str">
        <f ca="1">INDIRECT(ADDRESS(26,6))&amp;":"&amp;INDIRECT(ADDRESS(26,7))</f>
        <v>8:13</v>
      </c>
      <c r="I12" s="7" t="str">
        <f ca="1">INDIRECT(ADDRESS(32,7))&amp;":"&amp;INDIRECT(ADDRESS(32,6))</f>
        <v>13:3</v>
      </c>
      <c r="J12" s="8" t="s">
        <v>7</v>
      </c>
      <c r="K12" s="11" t="str">
        <f ca="1">INDIRECT(ADDRESS(35,7))&amp;":"&amp;INDIRECT(ADDRESS(35,6))</f>
        <v>13:4</v>
      </c>
      <c r="L12" s="135">
        <f ca="1">IF(COUNT(F13:K13)=0,"",COUNTIF(F13:K13,"&gt;0")+0.5*COUNTIF(F13:K13,0))</f>
        <v>2</v>
      </c>
      <c r="M12" s="17"/>
      <c r="N12" s="125">
        <v>4</v>
      </c>
    </row>
    <row r="13" spans="2:18" ht="24" customHeight="1">
      <c r="B13" s="138"/>
      <c r="C13" s="129"/>
      <c r="D13" s="130"/>
      <c r="E13" s="131"/>
      <c r="F13" s="22">
        <f ca="1">IF(LEN(INDIRECT(ADDRESS(ROW()-1, COLUMN())))=1,"",INDIRECT(ADDRESS(42,6))-INDIRECT(ADDRESS(42,7)))</f>
        <v>-9</v>
      </c>
      <c r="G13" s="17">
        <f ca="1">IF(LEN(INDIRECT(ADDRESS(ROW()-1, COLUMN())))=1,"",INDIRECT(ADDRESS(21,7))-INDIRECT(ADDRESS(21,6)))</f>
        <v>-7</v>
      </c>
      <c r="H13" s="17">
        <f ca="1">IF(LEN(INDIRECT(ADDRESS(ROW()-1, COLUMN())))=1,"",INDIRECT(ADDRESS(26,6))-INDIRECT(ADDRESS(26,7)))</f>
        <v>-5</v>
      </c>
      <c r="I13" s="17">
        <f ca="1">IF(LEN(INDIRECT(ADDRESS(ROW()-1, COLUMN())))=1,"",INDIRECT(ADDRESS(32,7))-INDIRECT(ADDRESS(32,6)))</f>
        <v>10</v>
      </c>
      <c r="J13" s="15" t="s">
        <v>7</v>
      </c>
      <c r="K13" s="18">
        <f ca="1">IF(LEN(INDIRECT(ADDRESS(ROW()-1, COLUMN())))=1,"",INDIRECT(ADDRESS(35,7))-INDIRECT(ADDRESS(35,6)))</f>
        <v>9</v>
      </c>
      <c r="L13" s="135"/>
      <c r="M13" s="17">
        <f ca="1">IF(COUNT(F13:K13)=0,"",SUM(F13:K13))</f>
        <v>-2</v>
      </c>
      <c r="N13" s="126"/>
    </row>
    <row r="14" spans="2:18" ht="24" customHeight="1">
      <c r="B14" s="127">
        <v>6</v>
      </c>
      <c r="C14" s="129" t="s">
        <v>70</v>
      </c>
      <c r="D14" s="130"/>
      <c r="E14" s="131"/>
      <c r="F14" s="12" t="str">
        <f ca="1">INDIRECT(ADDRESS(20,7))&amp;":"&amp;INDIRECT(ADDRESS(20,6))</f>
        <v>4:13</v>
      </c>
      <c r="G14" s="7" t="str">
        <f ca="1">INDIRECT(ADDRESS(30,7))&amp;":"&amp;INDIRECT(ADDRESS(30,6))</f>
        <v>1:13</v>
      </c>
      <c r="H14" s="7" t="str">
        <f ca="1">INDIRECT(ADDRESS(40,7))&amp;":"&amp;INDIRECT(ADDRESS(40,6))</f>
        <v>1:13</v>
      </c>
      <c r="I14" s="7" t="str">
        <f ca="1">INDIRECT(ADDRESS(25,6))&amp;":"&amp;INDIRECT(ADDRESS(25,7))</f>
        <v>5:13</v>
      </c>
      <c r="J14" s="7" t="str">
        <f ca="1">INDIRECT(ADDRESS(35,6))&amp;":"&amp;INDIRECT(ADDRESS(35,7))</f>
        <v>4:13</v>
      </c>
      <c r="K14" s="13" t="s">
        <v>7</v>
      </c>
      <c r="L14" s="135">
        <f ca="1">IF(COUNT(F15:K15)=0,"",COUNTIF(F15:K15,"&gt;0")+0.5*COUNTIF(F15:K15,0))</f>
        <v>0</v>
      </c>
      <c r="M14" s="17"/>
      <c r="N14" s="125">
        <v>6</v>
      </c>
    </row>
    <row r="15" spans="2:18" ht="24" customHeight="1" thickBot="1">
      <c r="B15" s="128"/>
      <c r="C15" s="132"/>
      <c r="D15" s="133"/>
      <c r="E15" s="134"/>
      <c r="F15" s="20">
        <f ca="1">IF(LEN(INDIRECT(ADDRESS(ROW()-1, COLUMN())))=1,"",INDIRECT(ADDRESS(20,7))-INDIRECT(ADDRESS(20,6)))</f>
        <v>-9</v>
      </c>
      <c r="G15" s="19">
        <f ca="1">IF(LEN(INDIRECT(ADDRESS(ROW()-1, COLUMN())))=1,"",INDIRECT(ADDRESS(30,7))-INDIRECT(ADDRESS(30,6)))</f>
        <v>-12</v>
      </c>
      <c r="H15" s="19">
        <f ca="1">IF(LEN(INDIRECT(ADDRESS(ROW()-1, COLUMN())))=1,"",INDIRECT(ADDRESS(40,7))-INDIRECT(ADDRESS(40,6)))</f>
        <v>-12</v>
      </c>
      <c r="I15" s="19">
        <f ca="1">IF(LEN(INDIRECT(ADDRESS(ROW()-1, COLUMN())))=1,"",INDIRECT(ADDRESS(25,6))-INDIRECT(ADDRESS(25,7)))</f>
        <v>-8</v>
      </c>
      <c r="J15" s="19">
        <f ca="1">IF(LEN(INDIRECT(ADDRESS(ROW()-1, COLUMN())))=1,"",INDIRECT(ADDRESS(35,6))-INDIRECT(ADDRESS(35,7)))</f>
        <v>-9</v>
      </c>
      <c r="K15" s="16" t="s">
        <v>7</v>
      </c>
      <c r="L15" s="136"/>
      <c r="M15" s="19">
        <f ca="1">IF(COUNT(F15:K15)=0,"",SUM(F15:K15))</f>
        <v>-50</v>
      </c>
      <c r="N15" s="137"/>
    </row>
    <row r="16" spans="2:18">
      <c r="M16"/>
    </row>
    <row r="17" spans="1:13">
      <c r="M17"/>
    </row>
    <row r="18" spans="1:13">
      <c r="M18"/>
    </row>
    <row r="19" spans="1:13" s="42" customFormat="1" ht="30" customHeight="1" thickBot="1">
      <c r="A19" s="41"/>
      <c r="B19" s="100" t="s">
        <v>4</v>
      </c>
      <c r="C19" s="100"/>
      <c r="D19" s="100"/>
      <c r="E19" s="100"/>
      <c r="F19" s="100"/>
      <c r="G19" s="100"/>
      <c r="H19" s="100"/>
      <c r="I19" s="100"/>
      <c r="J19" s="100"/>
      <c r="K19" s="100"/>
    </row>
    <row r="20" spans="1:13" s="42" customFormat="1" ht="30" customHeight="1" thickBot="1">
      <c r="A20" s="41"/>
      <c r="B20" s="46">
        <v>1</v>
      </c>
      <c r="C20" s="122" t="str">
        <f ca="1">IF(ISBLANK(INDIRECT(ADDRESS(B20*2+2,3))),"",INDIRECT(ADDRESS(B20*2+2,3)))</f>
        <v>Лукина Лариса</v>
      </c>
      <c r="D20" s="122"/>
      <c r="E20" s="123"/>
      <c r="F20" s="43">
        <v>13</v>
      </c>
      <c r="G20" s="44">
        <v>4</v>
      </c>
      <c r="H20" s="124" t="str">
        <f ca="1">IF(ISBLANK(INDIRECT(ADDRESS(K20*2+2,3))),"",INDIRECT(ADDRESS(K20*2+2,3)))</f>
        <v>Косова Ксения</v>
      </c>
      <c r="I20" s="122"/>
      <c r="J20" s="122"/>
      <c r="K20" s="46">
        <v>6</v>
      </c>
      <c r="L20" s="45" t="s">
        <v>11</v>
      </c>
      <c r="M20" s="40"/>
    </row>
    <row r="21" spans="1:13" s="42" customFormat="1" ht="30" customHeight="1" thickBot="1">
      <c r="A21" s="41"/>
      <c r="B21" s="46">
        <v>2</v>
      </c>
      <c r="C21" s="122" t="str">
        <f ca="1">IF(ISBLANK(INDIRECT(ADDRESS(B21*2+2,3))),"",INDIRECT(ADDRESS(B21*2+2,3)))</f>
        <v>Румянцева Наталья</v>
      </c>
      <c r="D21" s="122"/>
      <c r="E21" s="123"/>
      <c r="F21" s="43">
        <v>13</v>
      </c>
      <c r="G21" s="44">
        <v>6</v>
      </c>
      <c r="H21" s="124" t="str">
        <f ca="1">IF(ISBLANK(INDIRECT(ADDRESS(K21*2+2,3))),"",INDIRECT(ADDRESS(K21*2+2,3)))</f>
        <v>Москаленко Наталья</v>
      </c>
      <c r="I21" s="122"/>
      <c r="J21" s="122"/>
      <c r="K21" s="46">
        <v>5</v>
      </c>
      <c r="L21" s="45" t="s">
        <v>11</v>
      </c>
      <c r="M21" s="40"/>
    </row>
    <row r="22" spans="1:13" s="42" customFormat="1" ht="30" customHeight="1" thickBot="1">
      <c r="A22" s="41"/>
      <c r="B22" s="46">
        <v>3</v>
      </c>
      <c r="C22" s="122" t="str">
        <f ca="1">IF(ISBLANK(INDIRECT(ADDRESS(B22*2+2,3))),"",INDIRECT(ADDRESS(B22*2+2,3)))</f>
        <v>Потапова Людмила</v>
      </c>
      <c r="D22" s="122"/>
      <c r="E22" s="123"/>
      <c r="F22" s="43">
        <v>13</v>
      </c>
      <c r="G22" s="44">
        <v>3</v>
      </c>
      <c r="H22" s="124" t="str">
        <f ca="1">IF(ISBLANK(INDIRECT(ADDRESS(K22*2+2,3))),"",INDIRECT(ADDRESS(K22*2+2,3)))</f>
        <v>Косова Виктория (ю)</v>
      </c>
      <c r="I22" s="122"/>
      <c r="J22" s="122"/>
      <c r="K22" s="46">
        <v>4</v>
      </c>
      <c r="L22" s="45" t="s">
        <v>11</v>
      </c>
      <c r="M22" s="40"/>
    </row>
    <row r="23" spans="1:13" s="42" customFormat="1" ht="30" customHeight="1">
      <c r="A23" s="41"/>
      <c r="M23" s="47"/>
    </row>
    <row r="24" spans="1:13" s="42" customFormat="1" ht="30" customHeight="1" thickBot="1">
      <c r="A24" s="41"/>
      <c r="B24" s="100" t="s">
        <v>5</v>
      </c>
      <c r="C24" s="100"/>
      <c r="D24" s="100"/>
      <c r="E24" s="100"/>
      <c r="F24" s="100"/>
      <c r="G24" s="100"/>
      <c r="H24" s="100"/>
      <c r="I24" s="100"/>
      <c r="J24" s="100"/>
      <c r="K24" s="100"/>
      <c r="M24" s="47"/>
    </row>
    <row r="25" spans="1:13" s="42" customFormat="1" ht="30" customHeight="1" thickBot="1">
      <c r="A25" s="41"/>
      <c r="B25" s="46">
        <v>6</v>
      </c>
      <c r="C25" s="122" t="str">
        <f ca="1">IF(ISBLANK(INDIRECT(ADDRESS(B25*2+2,3))),"",INDIRECT(ADDRESS(B25*2+2,3)))</f>
        <v>Косова Ксения</v>
      </c>
      <c r="D25" s="122"/>
      <c r="E25" s="123"/>
      <c r="F25" s="43">
        <v>5</v>
      </c>
      <c r="G25" s="44">
        <v>13</v>
      </c>
      <c r="H25" s="124" t="str">
        <f ca="1">IF(ISBLANK(INDIRECT(ADDRESS(K25*2+2,3))),"",INDIRECT(ADDRESS(K25*2+2,3)))</f>
        <v>Косова Виктория (ю)</v>
      </c>
      <c r="I25" s="122"/>
      <c r="J25" s="122"/>
      <c r="K25" s="46">
        <v>4</v>
      </c>
      <c r="L25" s="45" t="s">
        <v>11</v>
      </c>
      <c r="M25" s="40"/>
    </row>
    <row r="26" spans="1:13" s="42" customFormat="1" ht="30" customHeight="1" thickBot="1">
      <c r="A26" s="41"/>
      <c r="B26" s="46">
        <v>5</v>
      </c>
      <c r="C26" s="122" t="str">
        <f ca="1">IF(ISBLANK(INDIRECT(ADDRESS(B26*2+2,3))),"",INDIRECT(ADDRESS(B26*2+2,3)))</f>
        <v>Москаленко Наталья</v>
      </c>
      <c r="D26" s="122"/>
      <c r="E26" s="123"/>
      <c r="F26" s="43">
        <v>8</v>
      </c>
      <c r="G26" s="44">
        <v>13</v>
      </c>
      <c r="H26" s="124" t="str">
        <f ca="1">IF(ISBLANK(INDIRECT(ADDRESS(K26*2+2,3))),"",INDIRECT(ADDRESS(K26*2+2,3)))</f>
        <v>Потапова Людмила</v>
      </c>
      <c r="I26" s="122"/>
      <c r="J26" s="122"/>
      <c r="K26" s="46">
        <v>3</v>
      </c>
      <c r="L26" s="45" t="s">
        <v>11</v>
      </c>
      <c r="M26" s="40"/>
    </row>
    <row r="27" spans="1:13" s="42" customFormat="1" ht="30" customHeight="1" thickBot="1">
      <c r="A27" s="41"/>
      <c r="B27" s="46">
        <v>1</v>
      </c>
      <c r="C27" s="122" t="str">
        <f ca="1">IF(ISBLANK(INDIRECT(ADDRESS(B27*2+2,3))),"",INDIRECT(ADDRESS(B27*2+2,3)))</f>
        <v>Лукина Лариса</v>
      </c>
      <c r="D27" s="122"/>
      <c r="E27" s="123"/>
      <c r="F27" s="43">
        <v>13</v>
      </c>
      <c r="G27" s="44">
        <v>9</v>
      </c>
      <c r="H27" s="124" t="str">
        <f ca="1">IF(ISBLANK(INDIRECT(ADDRESS(K27*2+2,3))),"",INDIRECT(ADDRESS(K27*2+2,3)))</f>
        <v>Румянцева Наталья</v>
      </c>
      <c r="I27" s="122"/>
      <c r="J27" s="122"/>
      <c r="K27" s="46">
        <v>2</v>
      </c>
      <c r="L27" s="45" t="s">
        <v>11</v>
      </c>
      <c r="M27" s="40"/>
    </row>
    <row r="28" spans="1:13" s="42" customFormat="1" ht="30" customHeight="1">
      <c r="A28" s="41"/>
      <c r="M28" s="47"/>
    </row>
    <row r="29" spans="1:13" s="42" customFormat="1" ht="30" customHeight="1" thickBot="1">
      <c r="A29" s="41"/>
      <c r="B29" s="100" t="s">
        <v>6</v>
      </c>
      <c r="C29" s="100"/>
      <c r="D29" s="100"/>
      <c r="E29" s="100"/>
      <c r="F29" s="100"/>
      <c r="G29" s="100"/>
      <c r="H29" s="100"/>
      <c r="I29" s="100"/>
      <c r="J29" s="100"/>
      <c r="K29" s="100"/>
      <c r="M29" s="47"/>
    </row>
    <row r="30" spans="1:13" s="42" customFormat="1" ht="30" customHeight="1" thickBot="1">
      <c r="A30" s="41"/>
      <c r="B30" s="46">
        <v>2</v>
      </c>
      <c r="C30" s="122" t="str">
        <f ca="1">IF(ISBLANK(INDIRECT(ADDRESS(B30*2+2,3))),"",INDIRECT(ADDRESS(B30*2+2,3)))</f>
        <v>Румянцева Наталья</v>
      </c>
      <c r="D30" s="122"/>
      <c r="E30" s="123"/>
      <c r="F30" s="43">
        <v>13</v>
      </c>
      <c r="G30" s="44">
        <v>1</v>
      </c>
      <c r="H30" s="124" t="str">
        <f ca="1">IF(ISBLANK(INDIRECT(ADDRESS(K30*2+2,3))),"",INDIRECT(ADDRESS(K30*2+2,3)))</f>
        <v>Косова Ксения</v>
      </c>
      <c r="I30" s="122"/>
      <c r="J30" s="122"/>
      <c r="K30" s="46">
        <v>6</v>
      </c>
      <c r="L30" s="45" t="s">
        <v>11</v>
      </c>
      <c r="M30" s="40"/>
    </row>
    <row r="31" spans="1:13" s="42" customFormat="1" ht="30" customHeight="1" thickBot="1">
      <c r="A31" s="41"/>
      <c r="B31" s="46">
        <v>3</v>
      </c>
      <c r="C31" s="122" t="str">
        <f ca="1">IF(ISBLANK(INDIRECT(ADDRESS(B31*2+2,3))),"",INDIRECT(ADDRESS(B31*2+2,3)))</f>
        <v>Потапова Людмила</v>
      </c>
      <c r="D31" s="122"/>
      <c r="E31" s="123"/>
      <c r="F31" s="43">
        <v>12</v>
      </c>
      <c r="G31" s="44">
        <v>13</v>
      </c>
      <c r="H31" s="124" t="str">
        <f ca="1">IF(ISBLANK(INDIRECT(ADDRESS(K31*2+2,3))),"",INDIRECT(ADDRESS(K31*2+2,3)))</f>
        <v>Лукина Лариса</v>
      </c>
      <c r="I31" s="122"/>
      <c r="J31" s="122"/>
      <c r="K31" s="46">
        <v>1</v>
      </c>
      <c r="L31" s="45" t="s">
        <v>11</v>
      </c>
      <c r="M31" s="40"/>
    </row>
    <row r="32" spans="1:13" s="42" customFormat="1" ht="30" customHeight="1" thickBot="1">
      <c r="A32" s="41"/>
      <c r="B32" s="46">
        <v>4</v>
      </c>
      <c r="C32" s="122" t="str">
        <f ca="1">IF(ISBLANK(INDIRECT(ADDRESS(B32*2+2,3))),"",INDIRECT(ADDRESS(B32*2+2,3)))</f>
        <v>Косова Виктория (ю)</v>
      </c>
      <c r="D32" s="122"/>
      <c r="E32" s="123"/>
      <c r="F32" s="43">
        <v>3</v>
      </c>
      <c r="G32" s="44">
        <v>13</v>
      </c>
      <c r="H32" s="124" t="str">
        <f ca="1">IF(ISBLANK(INDIRECT(ADDRESS(K32*2+2,3))),"",INDIRECT(ADDRESS(K32*2+2,3)))</f>
        <v>Москаленко Наталья</v>
      </c>
      <c r="I32" s="122"/>
      <c r="J32" s="122"/>
      <c r="K32" s="46">
        <v>5</v>
      </c>
      <c r="L32" s="45" t="s">
        <v>11</v>
      </c>
      <c r="M32" s="40"/>
    </row>
    <row r="33" spans="1:13" s="42" customFormat="1" ht="30" customHeight="1">
      <c r="A33" s="41"/>
      <c r="M33" s="47"/>
    </row>
    <row r="34" spans="1:13" s="42" customFormat="1" ht="30" customHeight="1" thickBot="1">
      <c r="A34" s="41"/>
      <c r="B34" s="100" t="s">
        <v>8</v>
      </c>
      <c r="C34" s="100"/>
      <c r="D34" s="100"/>
      <c r="E34" s="100"/>
      <c r="F34" s="100"/>
      <c r="G34" s="100"/>
      <c r="H34" s="100"/>
      <c r="I34" s="100"/>
      <c r="J34" s="100"/>
      <c r="K34" s="100"/>
      <c r="M34" s="47"/>
    </row>
    <row r="35" spans="1:13" s="42" customFormat="1" ht="30" customHeight="1" thickBot="1">
      <c r="A35" s="41"/>
      <c r="B35" s="46">
        <v>6</v>
      </c>
      <c r="C35" s="122" t="str">
        <f ca="1">IF(ISBLANK(INDIRECT(ADDRESS(B35*2+2,3))),"",INDIRECT(ADDRESS(B35*2+2,3)))</f>
        <v>Косова Ксения</v>
      </c>
      <c r="D35" s="122"/>
      <c r="E35" s="123"/>
      <c r="F35" s="43">
        <v>4</v>
      </c>
      <c r="G35" s="44">
        <v>13</v>
      </c>
      <c r="H35" s="124" t="str">
        <f ca="1">IF(ISBLANK(INDIRECT(ADDRESS(K35*2+2,3))),"",INDIRECT(ADDRESS(K35*2+2,3)))</f>
        <v>Москаленко Наталья</v>
      </c>
      <c r="I35" s="122"/>
      <c r="J35" s="122"/>
      <c r="K35" s="46">
        <v>5</v>
      </c>
      <c r="L35" s="45" t="s">
        <v>11</v>
      </c>
      <c r="M35" s="40"/>
    </row>
    <row r="36" spans="1:13" s="42" customFormat="1" ht="30" customHeight="1" thickBot="1">
      <c r="A36" s="41"/>
      <c r="B36" s="46">
        <v>1</v>
      </c>
      <c r="C36" s="122" t="str">
        <f ca="1">IF(ISBLANK(INDIRECT(ADDRESS(B36*2+2,3))),"",INDIRECT(ADDRESS(B36*2+2,3)))</f>
        <v>Лукина Лариса</v>
      </c>
      <c r="D36" s="122"/>
      <c r="E36" s="123"/>
      <c r="F36" s="43">
        <v>13</v>
      </c>
      <c r="G36" s="44">
        <v>0</v>
      </c>
      <c r="H36" s="124" t="str">
        <f ca="1">IF(ISBLANK(INDIRECT(ADDRESS(K36*2+2,3))),"",INDIRECT(ADDRESS(K36*2+2,3)))</f>
        <v>Косова Виктория (ю)</v>
      </c>
      <c r="I36" s="122"/>
      <c r="J36" s="122"/>
      <c r="K36" s="46">
        <v>4</v>
      </c>
      <c r="L36" s="45" t="s">
        <v>11</v>
      </c>
      <c r="M36" s="40"/>
    </row>
    <row r="37" spans="1:13" s="42" customFormat="1" ht="30" customHeight="1" thickBot="1">
      <c r="A37" s="41"/>
      <c r="B37" s="46">
        <v>2</v>
      </c>
      <c r="C37" s="122" t="str">
        <f ca="1">IF(ISBLANK(INDIRECT(ADDRESS(B37*2+2,3))),"",INDIRECT(ADDRESS(B37*2+2,3)))</f>
        <v>Румянцева Наталья</v>
      </c>
      <c r="D37" s="122"/>
      <c r="E37" s="123"/>
      <c r="F37" s="43">
        <v>7</v>
      </c>
      <c r="G37" s="44">
        <v>13</v>
      </c>
      <c r="H37" s="124" t="str">
        <f ca="1">IF(ISBLANK(INDIRECT(ADDRESS(K37*2+2,3))),"",INDIRECT(ADDRESS(K37*2+2,3)))</f>
        <v>Потапова Людмила</v>
      </c>
      <c r="I37" s="122"/>
      <c r="J37" s="122"/>
      <c r="K37" s="46">
        <v>3</v>
      </c>
      <c r="L37" s="45" t="s">
        <v>11</v>
      </c>
      <c r="M37" s="40"/>
    </row>
    <row r="38" spans="1:13" s="42" customFormat="1" ht="30" customHeight="1">
      <c r="A38" s="41"/>
      <c r="M38" s="47"/>
    </row>
    <row r="39" spans="1:13" s="42" customFormat="1" ht="30" customHeight="1" thickBot="1">
      <c r="A39" s="41"/>
      <c r="B39" s="100" t="s">
        <v>9</v>
      </c>
      <c r="C39" s="100"/>
      <c r="D39" s="100"/>
      <c r="E39" s="100"/>
      <c r="F39" s="100"/>
      <c r="G39" s="100"/>
      <c r="H39" s="100"/>
      <c r="I39" s="100"/>
      <c r="J39" s="100"/>
      <c r="K39" s="100"/>
      <c r="M39" s="47"/>
    </row>
    <row r="40" spans="1:13" s="42" customFormat="1" ht="30" customHeight="1" thickBot="1">
      <c r="A40" s="41"/>
      <c r="B40" s="46">
        <v>3</v>
      </c>
      <c r="C40" s="122" t="str">
        <f ca="1">IF(ISBLANK(INDIRECT(ADDRESS(B40*2+2,3))),"",INDIRECT(ADDRESS(B40*2+2,3)))</f>
        <v>Потапова Людмила</v>
      </c>
      <c r="D40" s="122"/>
      <c r="E40" s="123"/>
      <c r="F40" s="43">
        <v>13</v>
      </c>
      <c r="G40" s="44">
        <v>1</v>
      </c>
      <c r="H40" s="124" t="str">
        <f ca="1">IF(ISBLANK(INDIRECT(ADDRESS(K40*2+2,3))),"",INDIRECT(ADDRESS(K40*2+2,3)))</f>
        <v>Косова Ксения</v>
      </c>
      <c r="I40" s="122"/>
      <c r="J40" s="122"/>
      <c r="K40" s="46">
        <v>6</v>
      </c>
      <c r="L40" s="45" t="s">
        <v>11</v>
      </c>
      <c r="M40" s="40"/>
    </row>
    <row r="41" spans="1:13" s="42" customFormat="1" ht="30" customHeight="1" thickBot="1">
      <c r="A41" s="41"/>
      <c r="B41" s="46">
        <v>4</v>
      </c>
      <c r="C41" s="122" t="str">
        <f ca="1">IF(ISBLANK(INDIRECT(ADDRESS(B41*2+2,3))),"",INDIRECT(ADDRESS(B41*2+2,3)))</f>
        <v>Косова Виктория (ю)</v>
      </c>
      <c r="D41" s="122"/>
      <c r="E41" s="123"/>
      <c r="F41" s="43">
        <v>5</v>
      </c>
      <c r="G41" s="44">
        <v>13</v>
      </c>
      <c r="H41" s="124" t="str">
        <f ca="1">IF(ISBLANK(INDIRECT(ADDRESS(K41*2+2,3))),"",INDIRECT(ADDRESS(K41*2+2,3)))</f>
        <v>Румянцева Наталья</v>
      </c>
      <c r="I41" s="122"/>
      <c r="J41" s="122"/>
      <c r="K41" s="46">
        <v>2</v>
      </c>
      <c r="L41" s="45" t="s">
        <v>11</v>
      </c>
      <c r="M41" s="40"/>
    </row>
    <row r="42" spans="1:13" s="42" customFormat="1" ht="30" customHeight="1" thickBot="1">
      <c r="A42" s="41"/>
      <c r="B42" s="46">
        <v>5</v>
      </c>
      <c r="C42" s="122" t="str">
        <f ca="1">IF(ISBLANK(INDIRECT(ADDRESS(B42*2+2,3))),"",INDIRECT(ADDRESS(B42*2+2,3)))</f>
        <v>Москаленко Наталья</v>
      </c>
      <c r="D42" s="122"/>
      <c r="E42" s="123"/>
      <c r="F42" s="43">
        <v>4</v>
      </c>
      <c r="G42" s="44">
        <v>13</v>
      </c>
      <c r="H42" s="124" t="str">
        <f ca="1">IF(ISBLANK(INDIRECT(ADDRESS(K42*2+2,3))),"",INDIRECT(ADDRESS(K42*2+2,3)))</f>
        <v>Лукина Лариса</v>
      </c>
      <c r="I42" s="122"/>
      <c r="J42" s="122"/>
      <c r="K42" s="46">
        <v>1</v>
      </c>
      <c r="L42" s="45" t="s">
        <v>11</v>
      </c>
      <c r="M42" s="40"/>
    </row>
    <row r="45" spans="1:13" ht="21">
      <c r="B45" s="39"/>
      <c r="C45" s="50" t="s">
        <v>17</v>
      </c>
      <c r="D45" s="50"/>
      <c r="E45" s="50"/>
    </row>
    <row r="46" spans="1:13" ht="21">
      <c r="B46" s="39"/>
      <c r="C46" s="50"/>
      <c r="D46" s="50"/>
      <c r="E46" s="50"/>
    </row>
    <row r="47" spans="1:13" ht="21">
      <c r="B47" s="39"/>
      <c r="C47" s="50"/>
      <c r="D47" s="50"/>
      <c r="E47" s="50"/>
    </row>
    <row r="48" spans="1:13" ht="21">
      <c r="B48" s="39"/>
      <c r="C48" s="50" t="s">
        <v>33</v>
      </c>
      <c r="D48" s="50"/>
      <c r="E48" s="50"/>
    </row>
  </sheetData>
  <sheetCalcPr fullCalcOnLoad="1"/>
  <mergeCells count="61">
    <mergeCell ref="B6:B7"/>
    <mergeCell ref="C6:E7"/>
    <mergeCell ref="L6:L7"/>
    <mergeCell ref="B1:N1"/>
    <mergeCell ref="N6:N7"/>
    <mergeCell ref="C3:E3"/>
    <mergeCell ref="B4:B5"/>
    <mergeCell ref="C4:E5"/>
    <mergeCell ref="L4:L5"/>
    <mergeCell ref="N4:N5"/>
    <mergeCell ref="B10:B11"/>
    <mergeCell ref="C10:E11"/>
    <mergeCell ref="L10:L11"/>
    <mergeCell ref="N10:N11"/>
    <mergeCell ref="B8:B9"/>
    <mergeCell ref="C8:E9"/>
    <mergeCell ref="L8:L9"/>
    <mergeCell ref="N8:N9"/>
    <mergeCell ref="N12:N13"/>
    <mergeCell ref="B14:B15"/>
    <mergeCell ref="C14:E15"/>
    <mergeCell ref="L14:L15"/>
    <mergeCell ref="N14:N15"/>
    <mergeCell ref="L12:L13"/>
    <mergeCell ref="B12:B13"/>
    <mergeCell ref="C12:E13"/>
    <mergeCell ref="C26:E26"/>
    <mergeCell ref="H26:J26"/>
    <mergeCell ref="B19:K19"/>
    <mergeCell ref="C20:E20"/>
    <mergeCell ref="H20:J20"/>
    <mergeCell ref="C27:E27"/>
    <mergeCell ref="H27:J27"/>
    <mergeCell ref="C21:E21"/>
    <mergeCell ref="H21:J21"/>
    <mergeCell ref="C30:E30"/>
    <mergeCell ref="H30:J30"/>
    <mergeCell ref="C31:E31"/>
    <mergeCell ref="H31:J31"/>
    <mergeCell ref="B29:K29"/>
    <mergeCell ref="C22:E22"/>
    <mergeCell ref="H22:J22"/>
    <mergeCell ref="B24:K24"/>
    <mergeCell ref="C25:E25"/>
    <mergeCell ref="H25:J25"/>
    <mergeCell ref="C42:E42"/>
    <mergeCell ref="H42:J42"/>
    <mergeCell ref="B34:K34"/>
    <mergeCell ref="C35:E35"/>
    <mergeCell ref="H35:J35"/>
    <mergeCell ref="C36:E36"/>
    <mergeCell ref="C32:E32"/>
    <mergeCell ref="H32:J32"/>
    <mergeCell ref="C41:E41"/>
    <mergeCell ref="H41:J41"/>
    <mergeCell ref="H36:J36"/>
    <mergeCell ref="C37:E37"/>
    <mergeCell ref="H37:J37"/>
    <mergeCell ref="B39:K39"/>
    <mergeCell ref="C40:E40"/>
    <mergeCell ref="H40:J40"/>
  </mergeCells>
  <phoneticPr fontId="0" type="noConversion"/>
  <printOptions horizontalCentered="1"/>
  <pageMargins left="0.25" right="0.25" top="0.75" bottom="0.75" header="0.3" footer="0.3"/>
  <pageSetup paperSize="9" scale="66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48"/>
  <sheetViews>
    <sheetView workbookViewId="0">
      <selection activeCell="A45" sqref="A45:I48"/>
    </sheetView>
  </sheetViews>
  <sheetFormatPr defaultRowHeight="15"/>
  <cols>
    <col min="1" max="1" width="4" style="39" customWidth="1"/>
    <col min="2" max="12" width="10.28515625" customWidth="1"/>
    <col min="13" max="13" width="10.28515625" style="33" customWidth="1"/>
    <col min="14" max="15" width="10.28515625" customWidth="1"/>
  </cols>
  <sheetData>
    <row r="1" spans="2:14" ht="38.25" customHeight="1">
      <c r="B1" s="139" t="s">
        <v>67</v>
      </c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</row>
    <row r="2" spans="2:14" ht="15.75" thickBot="1">
      <c r="M2"/>
    </row>
    <row r="3" spans="2:14" ht="30" customHeight="1" thickBot="1">
      <c r="B3" s="23"/>
      <c r="C3" s="140" t="s">
        <v>0</v>
      </c>
      <c r="D3" s="116"/>
      <c r="E3" s="117"/>
      <c r="F3" s="1">
        <v>1</v>
      </c>
      <c r="G3" s="1">
        <v>2</v>
      </c>
      <c r="H3" s="1">
        <v>3</v>
      </c>
      <c r="I3" s="2">
        <v>4</v>
      </c>
      <c r="J3" s="2">
        <v>5</v>
      </c>
      <c r="K3" s="2">
        <v>6</v>
      </c>
      <c r="L3" s="3" t="s">
        <v>1</v>
      </c>
      <c r="M3" s="1" t="s">
        <v>3</v>
      </c>
      <c r="N3" s="4" t="s">
        <v>2</v>
      </c>
    </row>
    <row r="4" spans="2:14" ht="24" customHeight="1">
      <c r="B4" s="141">
        <v>1</v>
      </c>
      <c r="C4" s="142" t="s">
        <v>16</v>
      </c>
      <c r="D4" s="143"/>
      <c r="E4" s="144"/>
      <c r="F4" s="10" t="s">
        <v>7</v>
      </c>
      <c r="G4" s="6" t="str">
        <f ca="1">INDIRECT(ADDRESS(27,6))&amp;":"&amp;INDIRECT(ADDRESS(27,7))</f>
        <v>9:10</v>
      </c>
      <c r="H4" s="6" t="str">
        <f ca="1">INDIRECT(ADDRESS(31,7))&amp;":"&amp;INDIRECT(ADDRESS(31,6))</f>
        <v>13:7</v>
      </c>
      <c r="I4" s="6" t="str">
        <f ca="1">INDIRECT(ADDRESS(36,6))&amp;":"&amp;INDIRECT(ADDRESS(36,7))</f>
        <v>8:9</v>
      </c>
      <c r="J4" s="6" t="str">
        <f ca="1">INDIRECT(ADDRESS(42,7))&amp;":"&amp;INDIRECT(ADDRESS(42,6))</f>
        <v>13:3</v>
      </c>
      <c r="K4" s="21" t="str">
        <f ca="1">INDIRECT(ADDRESS(20,6))&amp;":"&amp;INDIRECT(ADDRESS(20,7))</f>
        <v>13:1</v>
      </c>
      <c r="L4" s="145">
        <f ca="1">IF(COUNT(F5:K5)=0,"",COUNTIF(F5:K5,"&gt;0")+0.5*COUNTIF(F5:K5,0))</f>
        <v>3</v>
      </c>
      <c r="M4" s="88"/>
      <c r="N4" s="146">
        <v>4</v>
      </c>
    </row>
    <row r="5" spans="2:14" ht="24" customHeight="1">
      <c r="B5" s="138"/>
      <c r="C5" s="129"/>
      <c r="D5" s="130"/>
      <c r="E5" s="131"/>
      <c r="F5" s="14" t="s">
        <v>7</v>
      </c>
      <c r="G5" s="17">
        <f ca="1">IF(LEN(INDIRECT(ADDRESS(ROW()-1, COLUMN())))=1,"",INDIRECT(ADDRESS(27,6))-INDIRECT(ADDRESS(27,7)))</f>
        <v>-1</v>
      </c>
      <c r="H5" s="17">
        <f ca="1">IF(LEN(INDIRECT(ADDRESS(ROW()-1, COLUMN())))=1,"",INDIRECT(ADDRESS(31,7))-INDIRECT(ADDRESS(31,6)))</f>
        <v>6</v>
      </c>
      <c r="I5" s="17">
        <f ca="1">IF(LEN(INDIRECT(ADDRESS(ROW()-1, COLUMN())))=1,"",INDIRECT(ADDRESS(36,6))-INDIRECT(ADDRESS(36,7)))</f>
        <v>-1</v>
      </c>
      <c r="J5" s="17">
        <f ca="1">IF(LEN(INDIRECT(ADDRESS(ROW()-1, COLUMN())))=1,"",INDIRECT(ADDRESS(42,7))-INDIRECT(ADDRESS(42,6)))</f>
        <v>10</v>
      </c>
      <c r="K5" s="18">
        <f ca="1">IF(LEN(INDIRECT(ADDRESS(ROW()-1, COLUMN())))=1,"",INDIRECT(ADDRESS(20,6))-INDIRECT(ADDRESS(20,7)))</f>
        <v>12</v>
      </c>
      <c r="L5" s="135"/>
      <c r="M5" s="17">
        <f ca="1">IF(COUNT(F5:K5)=0,"",SUM(F5:K5))</f>
        <v>26</v>
      </c>
      <c r="N5" s="126"/>
    </row>
    <row r="6" spans="2:14" ht="24" customHeight="1">
      <c r="B6" s="127">
        <v>2</v>
      </c>
      <c r="C6" s="129" t="s">
        <v>72</v>
      </c>
      <c r="D6" s="130"/>
      <c r="E6" s="131"/>
      <c r="F6" s="12" t="str">
        <f ca="1">INDIRECT(ADDRESS(27,7))&amp;":"&amp;INDIRECT(ADDRESS(27,6))</f>
        <v>10:9</v>
      </c>
      <c r="G6" s="8" t="s">
        <v>7</v>
      </c>
      <c r="H6" s="7" t="str">
        <f ca="1">INDIRECT(ADDRESS(37,6))&amp;":"&amp;INDIRECT(ADDRESS(37,7))</f>
        <v>9:13</v>
      </c>
      <c r="I6" s="7" t="str">
        <f ca="1">INDIRECT(ADDRESS(41,7))&amp;":"&amp;INDIRECT(ADDRESS(41,6))</f>
        <v>4:13</v>
      </c>
      <c r="J6" s="7" t="str">
        <f ca="1">INDIRECT(ADDRESS(21,6))&amp;":"&amp;INDIRECT(ADDRESS(21,7))</f>
        <v>13:4</v>
      </c>
      <c r="K6" s="11" t="str">
        <f ca="1">INDIRECT(ADDRESS(30,6))&amp;":"&amp;INDIRECT(ADDRESS(30,7))</f>
        <v>13:1</v>
      </c>
      <c r="L6" s="135">
        <f ca="1">IF(COUNT(F7:K7)=0,"",COUNTIF(F7:K7,"&gt;0")+0.5*COUNTIF(F7:K7,0))</f>
        <v>3</v>
      </c>
      <c r="M6" s="17"/>
      <c r="N6" s="125">
        <v>3</v>
      </c>
    </row>
    <row r="7" spans="2:14" ht="24" customHeight="1">
      <c r="B7" s="138"/>
      <c r="C7" s="129"/>
      <c r="D7" s="130"/>
      <c r="E7" s="131"/>
      <c r="F7" s="22">
        <f ca="1">IF(LEN(INDIRECT(ADDRESS(ROW()-1, COLUMN())))=1,"",INDIRECT(ADDRESS(27,7))-INDIRECT(ADDRESS(27,6)))</f>
        <v>1</v>
      </c>
      <c r="G7" s="15" t="s">
        <v>7</v>
      </c>
      <c r="H7" s="17">
        <f ca="1">IF(LEN(INDIRECT(ADDRESS(ROW()-1, COLUMN())))=1,"",INDIRECT(ADDRESS(37,6))-INDIRECT(ADDRESS(37,7)))</f>
        <v>-4</v>
      </c>
      <c r="I7" s="17">
        <f ca="1">IF(LEN(INDIRECT(ADDRESS(ROW()-1, COLUMN())))=1,"",INDIRECT(ADDRESS(41,7))-INDIRECT(ADDRESS(41,6)))</f>
        <v>-9</v>
      </c>
      <c r="J7" s="17">
        <f ca="1">IF(LEN(INDIRECT(ADDRESS(ROW()-1, COLUMN())))=1,"",INDIRECT(ADDRESS(21,6))-INDIRECT(ADDRESS(21,7)))</f>
        <v>9</v>
      </c>
      <c r="K7" s="18">
        <f ca="1">IF(LEN(INDIRECT(ADDRESS(ROW()-1, COLUMN())))=1,"",INDIRECT(ADDRESS(30,6))-INDIRECT(ADDRESS(30,7)))</f>
        <v>12</v>
      </c>
      <c r="L7" s="135"/>
      <c r="M7" s="17">
        <f ca="1">IF(COUNT(F7:K7)=0,"",SUM(F7:K7))</f>
        <v>9</v>
      </c>
      <c r="N7" s="126"/>
    </row>
    <row r="8" spans="2:14" ht="24" customHeight="1">
      <c r="B8" s="127">
        <v>3</v>
      </c>
      <c r="C8" s="129" t="s">
        <v>73</v>
      </c>
      <c r="D8" s="130"/>
      <c r="E8" s="131"/>
      <c r="F8" s="12" t="str">
        <f ca="1">INDIRECT(ADDRESS(31,6))&amp;":"&amp;INDIRECT(ADDRESS(31,7))</f>
        <v>7:13</v>
      </c>
      <c r="G8" s="7" t="str">
        <f ca="1">INDIRECT(ADDRESS(37,7))&amp;":"&amp;INDIRECT(ADDRESS(37,6))</f>
        <v>13:9</v>
      </c>
      <c r="H8" s="8" t="s">
        <v>7</v>
      </c>
      <c r="I8" s="7" t="str">
        <f ca="1">INDIRECT(ADDRESS(22,6))&amp;":"&amp;INDIRECT(ADDRESS(22,7))</f>
        <v>11:6</v>
      </c>
      <c r="J8" s="7" t="str">
        <f ca="1">INDIRECT(ADDRESS(26,7))&amp;":"&amp;INDIRECT(ADDRESS(26,6))</f>
        <v>13:3</v>
      </c>
      <c r="K8" s="11" t="str">
        <f ca="1">INDIRECT(ADDRESS(40,6))&amp;":"&amp;INDIRECT(ADDRESS(40,7))</f>
        <v>13:1</v>
      </c>
      <c r="L8" s="135">
        <f ca="1">IF(COUNT(F9:K9)=0,"",COUNTIF(F9:K9,"&gt;0")+0.5*COUNTIF(F9:K9,0))</f>
        <v>4</v>
      </c>
      <c r="M8" s="17"/>
      <c r="N8" s="125">
        <v>1</v>
      </c>
    </row>
    <row r="9" spans="2:14" ht="24" customHeight="1">
      <c r="B9" s="138"/>
      <c r="C9" s="129"/>
      <c r="D9" s="130"/>
      <c r="E9" s="131"/>
      <c r="F9" s="22">
        <f ca="1">IF(LEN(INDIRECT(ADDRESS(ROW()-1, COLUMN())))=1,"",INDIRECT(ADDRESS(31,6))-INDIRECT(ADDRESS(31,7)))</f>
        <v>-6</v>
      </c>
      <c r="G9" s="17">
        <f ca="1">IF(LEN(INDIRECT(ADDRESS(ROW()-1, COLUMN())))=1,"",INDIRECT(ADDRESS(37,7))-INDIRECT(ADDRESS(37,6)))</f>
        <v>4</v>
      </c>
      <c r="H9" s="15" t="s">
        <v>7</v>
      </c>
      <c r="I9" s="17">
        <f ca="1">IF(LEN(INDIRECT(ADDRESS(ROW()-1, COLUMN())))=1,"",INDIRECT(ADDRESS(22,6))-INDIRECT(ADDRESS(22,7)))</f>
        <v>5</v>
      </c>
      <c r="J9" s="17">
        <f ca="1">IF(LEN(INDIRECT(ADDRESS(ROW()-1, COLUMN())))=1,"",INDIRECT(ADDRESS(26,7))-INDIRECT(ADDRESS(26,6)))</f>
        <v>10</v>
      </c>
      <c r="K9" s="18">
        <f ca="1">IF(LEN(INDIRECT(ADDRESS(ROW()-1, COLUMN())))=1,"",INDIRECT(ADDRESS(40,6))-INDIRECT(ADDRESS(40,7)))</f>
        <v>12</v>
      </c>
      <c r="L9" s="135"/>
      <c r="M9" s="17">
        <f ca="1">IF(COUNT(F9:K9)=0,"",SUM(F9:K9))</f>
        <v>25</v>
      </c>
      <c r="N9" s="126"/>
    </row>
    <row r="10" spans="2:14" ht="24" customHeight="1">
      <c r="B10" s="127">
        <v>4</v>
      </c>
      <c r="C10" s="129" t="s">
        <v>74</v>
      </c>
      <c r="D10" s="130"/>
      <c r="E10" s="131"/>
      <c r="F10" s="12" t="str">
        <f ca="1">INDIRECT(ADDRESS(36,7))&amp;":"&amp;INDIRECT(ADDRESS(36,6))</f>
        <v>9:8</v>
      </c>
      <c r="G10" s="7" t="str">
        <f ca="1">INDIRECT(ADDRESS(41,6))&amp;":"&amp;INDIRECT(ADDRESS(41,7))</f>
        <v>13:4</v>
      </c>
      <c r="H10" s="7" t="str">
        <f ca="1">INDIRECT(ADDRESS(22,7))&amp;":"&amp;INDIRECT(ADDRESS(22,6))</f>
        <v>6:11</v>
      </c>
      <c r="I10" s="8" t="s">
        <v>7</v>
      </c>
      <c r="J10" s="7" t="str">
        <f ca="1">INDIRECT(ADDRESS(32,6))&amp;":"&amp;INDIRECT(ADDRESS(32,7))</f>
        <v>13:1</v>
      </c>
      <c r="K10" s="11" t="str">
        <f ca="1">INDIRECT(ADDRESS(25,7))&amp;":"&amp;INDIRECT(ADDRESS(25,6))</f>
        <v>13:2</v>
      </c>
      <c r="L10" s="135">
        <f ca="1">IF(COUNT(F11:K11)=0,"",COUNTIF(F11:K11,"&gt;0")+0.5*COUNTIF(F11:K11,0))</f>
        <v>4</v>
      </c>
      <c r="M10" s="17"/>
      <c r="N10" s="125">
        <v>2</v>
      </c>
    </row>
    <row r="11" spans="2:14" ht="24" customHeight="1">
      <c r="B11" s="138"/>
      <c r="C11" s="129"/>
      <c r="D11" s="130"/>
      <c r="E11" s="131"/>
      <c r="F11" s="22">
        <f ca="1">IF(LEN(INDIRECT(ADDRESS(ROW()-1, COLUMN())))=1,"",INDIRECT(ADDRESS(36,7))-INDIRECT(ADDRESS(36,6)))</f>
        <v>1</v>
      </c>
      <c r="G11" s="17">
        <f ca="1">IF(LEN(INDIRECT(ADDRESS(ROW()-1, COLUMN())))=1,"",INDIRECT(ADDRESS(41,6))-INDIRECT(ADDRESS(41,7)))</f>
        <v>9</v>
      </c>
      <c r="H11" s="17">
        <f ca="1">IF(LEN(INDIRECT(ADDRESS(ROW()-1, COLUMN())))=1,"",INDIRECT(ADDRESS(22,7))-INDIRECT(ADDRESS(22,6)))</f>
        <v>-5</v>
      </c>
      <c r="I11" s="15" t="s">
        <v>7</v>
      </c>
      <c r="J11" s="17">
        <f ca="1">IF(LEN(INDIRECT(ADDRESS(ROW()-1, COLUMN())))=1,"",INDIRECT(ADDRESS(32,6))-INDIRECT(ADDRESS(32,7)))</f>
        <v>12</v>
      </c>
      <c r="K11" s="18">
        <f ca="1">IF(LEN(INDIRECT(ADDRESS(ROW()-1, COLUMN())))=1,"",INDIRECT(ADDRESS(25,7))-INDIRECT(ADDRESS(25,6)))</f>
        <v>11</v>
      </c>
      <c r="L11" s="135"/>
      <c r="M11" s="17">
        <f ca="1">IF(COUNT(F11:K11)=0,"",SUM(F11:K11))</f>
        <v>28</v>
      </c>
      <c r="N11" s="126"/>
    </row>
    <row r="12" spans="2:14" ht="24" customHeight="1">
      <c r="B12" s="127">
        <v>5</v>
      </c>
      <c r="C12" s="129" t="s">
        <v>75</v>
      </c>
      <c r="D12" s="130"/>
      <c r="E12" s="131"/>
      <c r="F12" s="12" t="str">
        <f ca="1">INDIRECT(ADDRESS(42,6))&amp;":"&amp;INDIRECT(ADDRESS(42,7))</f>
        <v>3:13</v>
      </c>
      <c r="G12" s="7" t="str">
        <f ca="1">INDIRECT(ADDRESS(21,7))&amp;":"&amp;INDIRECT(ADDRESS(21,6))</f>
        <v>4:13</v>
      </c>
      <c r="H12" s="7" t="str">
        <f ca="1">INDIRECT(ADDRESS(26,6))&amp;":"&amp;INDIRECT(ADDRESS(26,7))</f>
        <v>3:13</v>
      </c>
      <c r="I12" s="7" t="str">
        <f ca="1">INDIRECT(ADDRESS(32,7))&amp;":"&amp;INDIRECT(ADDRESS(32,6))</f>
        <v>1:13</v>
      </c>
      <c r="J12" s="8" t="s">
        <v>7</v>
      </c>
      <c r="K12" s="11" t="str">
        <f ca="1">INDIRECT(ADDRESS(35,7))&amp;":"&amp;INDIRECT(ADDRESS(35,6))</f>
        <v>9:13</v>
      </c>
      <c r="L12" s="135">
        <f ca="1">IF(COUNT(F13:K13)=0,"",COUNTIF(F13:K13,"&gt;0")+0.5*COUNTIF(F13:K13,0))</f>
        <v>0</v>
      </c>
      <c r="M12" s="17"/>
      <c r="N12" s="125">
        <v>6</v>
      </c>
    </row>
    <row r="13" spans="2:14" ht="24" customHeight="1">
      <c r="B13" s="138"/>
      <c r="C13" s="129"/>
      <c r="D13" s="130"/>
      <c r="E13" s="131"/>
      <c r="F13" s="22">
        <f ca="1">IF(LEN(INDIRECT(ADDRESS(ROW()-1, COLUMN())))=1,"",INDIRECT(ADDRESS(42,6))-INDIRECT(ADDRESS(42,7)))</f>
        <v>-10</v>
      </c>
      <c r="G13" s="17">
        <f ca="1">IF(LEN(INDIRECT(ADDRESS(ROW()-1, COLUMN())))=1,"",INDIRECT(ADDRESS(21,7))-INDIRECT(ADDRESS(21,6)))</f>
        <v>-9</v>
      </c>
      <c r="H13" s="17">
        <f ca="1">IF(LEN(INDIRECT(ADDRESS(ROW()-1, COLUMN())))=1,"",INDIRECT(ADDRESS(26,6))-INDIRECT(ADDRESS(26,7)))</f>
        <v>-10</v>
      </c>
      <c r="I13" s="17">
        <f ca="1">IF(LEN(INDIRECT(ADDRESS(ROW()-1, COLUMN())))=1,"",INDIRECT(ADDRESS(32,7))-INDIRECT(ADDRESS(32,6)))</f>
        <v>-12</v>
      </c>
      <c r="J13" s="15" t="s">
        <v>7</v>
      </c>
      <c r="K13" s="18">
        <f ca="1">IF(LEN(INDIRECT(ADDRESS(ROW()-1, COLUMN())))=1,"",INDIRECT(ADDRESS(35,7))-INDIRECT(ADDRESS(35,6)))</f>
        <v>-4</v>
      </c>
      <c r="L13" s="135"/>
      <c r="M13" s="17">
        <f ca="1">IF(COUNT(F13:K13)=0,"",SUM(F13:K13))</f>
        <v>-45</v>
      </c>
      <c r="N13" s="126"/>
    </row>
    <row r="14" spans="2:14" ht="24" customHeight="1">
      <c r="B14" s="127">
        <v>6</v>
      </c>
      <c r="C14" s="129" t="s">
        <v>76</v>
      </c>
      <c r="D14" s="130"/>
      <c r="E14" s="131"/>
      <c r="F14" s="12" t="str">
        <f ca="1">INDIRECT(ADDRESS(20,7))&amp;":"&amp;INDIRECT(ADDRESS(20,6))</f>
        <v>1:13</v>
      </c>
      <c r="G14" s="7" t="str">
        <f ca="1">INDIRECT(ADDRESS(30,7))&amp;":"&amp;INDIRECT(ADDRESS(30,6))</f>
        <v>1:13</v>
      </c>
      <c r="H14" s="7" t="str">
        <f ca="1">INDIRECT(ADDRESS(40,7))&amp;":"&amp;INDIRECT(ADDRESS(40,6))</f>
        <v>1:13</v>
      </c>
      <c r="I14" s="7" t="str">
        <f ca="1">INDIRECT(ADDRESS(25,6))&amp;":"&amp;INDIRECT(ADDRESS(25,7))</f>
        <v>2:13</v>
      </c>
      <c r="J14" s="7" t="str">
        <f ca="1">INDIRECT(ADDRESS(35,6))&amp;":"&amp;INDIRECT(ADDRESS(35,7))</f>
        <v>13:9</v>
      </c>
      <c r="K14" s="13" t="s">
        <v>7</v>
      </c>
      <c r="L14" s="135">
        <f ca="1">IF(COUNT(F15:K15)=0,"",COUNTIF(F15:K15,"&gt;0")+0.5*COUNTIF(F15:K15,0))</f>
        <v>1</v>
      </c>
      <c r="M14" s="17"/>
      <c r="N14" s="125">
        <v>5</v>
      </c>
    </row>
    <row r="15" spans="2:14" ht="24" customHeight="1" thickBot="1">
      <c r="B15" s="128"/>
      <c r="C15" s="132"/>
      <c r="D15" s="133"/>
      <c r="E15" s="134"/>
      <c r="F15" s="20">
        <f ca="1">IF(LEN(INDIRECT(ADDRESS(ROW()-1, COLUMN())))=1,"",INDIRECT(ADDRESS(20,7))-INDIRECT(ADDRESS(20,6)))</f>
        <v>-12</v>
      </c>
      <c r="G15" s="19">
        <f ca="1">IF(LEN(INDIRECT(ADDRESS(ROW()-1, COLUMN())))=1,"",INDIRECT(ADDRESS(30,7))-INDIRECT(ADDRESS(30,6)))</f>
        <v>-12</v>
      </c>
      <c r="H15" s="19">
        <f ca="1">IF(LEN(INDIRECT(ADDRESS(ROW()-1, COLUMN())))=1,"",INDIRECT(ADDRESS(40,7))-INDIRECT(ADDRESS(40,6)))</f>
        <v>-12</v>
      </c>
      <c r="I15" s="19">
        <f ca="1">IF(LEN(INDIRECT(ADDRESS(ROW()-1, COLUMN())))=1,"",INDIRECT(ADDRESS(25,6))-INDIRECT(ADDRESS(25,7)))</f>
        <v>-11</v>
      </c>
      <c r="J15" s="19">
        <f ca="1">IF(LEN(INDIRECT(ADDRESS(ROW()-1, COLUMN())))=1,"",INDIRECT(ADDRESS(35,6))-INDIRECT(ADDRESS(35,7)))</f>
        <v>4</v>
      </c>
      <c r="K15" s="16" t="s">
        <v>7</v>
      </c>
      <c r="L15" s="136"/>
      <c r="M15" s="19">
        <f ca="1">IF(COUNT(F15:K15)=0,"",SUM(F15:K15))</f>
        <v>-43</v>
      </c>
      <c r="N15" s="137"/>
    </row>
    <row r="16" spans="2:14">
      <c r="M16"/>
    </row>
    <row r="17" spans="1:13">
      <c r="M17"/>
    </row>
    <row r="18" spans="1:13">
      <c r="M18"/>
    </row>
    <row r="19" spans="1:13" s="42" customFormat="1" ht="30" customHeight="1" thickBot="1">
      <c r="A19" s="41"/>
      <c r="B19" s="100" t="s">
        <v>4</v>
      </c>
      <c r="C19" s="100"/>
      <c r="D19" s="100"/>
      <c r="E19" s="100"/>
      <c r="F19" s="100"/>
      <c r="G19" s="100"/>
      <c r="H19" s="100"/>
      <c r="I19" s="100"/>
      <c r="J19" s="100"/>
      <c r="K19" s="100"/>
    </row>
    <row r="20" spans="1:13" s="42" customFormat="1" ht="30" customHeight="1" thickBot="1">
      <c r="A20" s="41"/>
      <c r="B20" s="46">
        <v>1</v>
      </c>
      <c r="C20" s="122" t="str">
        <f ca="1">IF(ISBLANK(INDIRECT(ADDRESS(B20*2+2,3))),"",INDIRECT(ADDRESS(B20*2+2,3)))</f>
        <v>Семченкова Марина</v>
      </c>
      <c r="D20" s="122"/>
      <c r="E20" s="123"/>
      <c r="F20" s="43">
        <v>13</v>
      </c>
      <c r="G20" s="44">
        <v>1</v>
      </c>
      <c r="H20" s="124" t="str">
        <f ca="1">IF(ISBLANK(INDIRECT(ADDRESS(K20*2+2,3))),"",INDIRECT(ADDRESS(K20*2+2,3)))</f>
        <v>Смирнова Алина (ю)</v>
      </c>
      <c r="I20" s="122"/>
      <c r="J20" s="122"/>
      <c r="K20" s="46">
        <v>6</v>
      </c>
      <c r="L20" s="45" t="s">
        <v>11</v>
      </c>
      <c r="M20" s="40"/>
    </row>
    <row r="21" spans="1:13" s="42" customFormat="1" ht="30" customHeight="1" thickBot="1">
      <c r="A21" s="41"/>
      <c r="B21" s="46">
        <v>2</v>
      </c>
      <c r="C21" s="122" t="str">
        <f ca="1">IF(ISBLANK(INDIRECT(ADDRESS(B21*2+2,3))),"",INDIRECT(ADDRESS(B21*2+2,3)))</f>
        <v>Захарова Екатерина</v>
      </c>
      <c r="D21" s="122"/>
      <c r="E21" s="123"/>
      <c r="F21" s="43">
        <v>13</v>
      </c>
      <c r="G21" s="44">
        <v>4</v>
      </c>
      <c r="H21" s="124" t="str">
        <f ca="1">IF(ISBLANK(INDIRECT(ADDRESS(K21*2+2,3))),"",INDIRECT(ADDRESS(K21*2+2,3)))</f>
        <v>Смирнова Анастасия</v>
      </c>
      <c r="I21" s="122"/>
      <c r="J21" s="122"/>
      <c r="K21" s="46">
        <v>5</v>
      </c>
      <c r="L21" s="45" t="s">
        <v>11</v>
      </c>
      <c r="M21" s="40"/>
    </row>
    <row r="22" spans="1:13" s="42" customFormat="1" ht="30" customHeight="1" thickBot="1">
      <c r="A22" s="41"/>
      <c r="B22" s="46">
        <v>3</v>
      </c>
      <c r="C22" s="122" t="str">
        <f ca="1">IF(ISBLANK(INDIRECT(ADDRESS(B22*2+2,3))),"",INDIRECT(ADDRESS(B22*2+2,3)))</f>
        <v>Королькова Екатерина</v>
      </c>
      <c r="D22" s="122"/>
      <c r="E22" s="123"/>
      <c r="F22" s="43">
        <v>11</v>
      </c>
      <c r="G22" s="44">
        <v>6</v>
      </c>
      <c r="H22" s="124" t="str">
        <f ca="1">IF(ISBLANK(INDIRECT(ADDRESS(K22*2+2,3))),"",INDIRECT(ADDRESS(K22*2+2,3)))</f>
        <v>Рязанова Людмила</v>
      </c>
      <c r="I22" s="122"/>
      <c r="J22" s="122"/>
      <c r="K22" s="46">
        <v>4</v>
      </c>
      <c r="L22" s="45" t="s">
        <v>11</v>
      </c>
      <c r="M22" s="40"/>
    </row>
    <row r="23" spans="1:13" s="42" customFormat="1" ht="30" customHeight="1">
      <c r="A23" s="41"/>
      <c r="M23" s="47"/>
    </row>
    <row r="24" spans="1:13" s="42" customFormat="1" ht="30" customHeight="1" thickBot="1">
      <c r="A24" s="41"/>
      <c r="B24" s="100" t="s">
        <v>5</v>
      </c>
      <c r="C24" s="100"/>
      <c r="D24" s="100"/>
      <c r="E24" s="100"/>
      <c r="F24" s="100"/>
      <c r="G24" s="100"/>
      <c r="H24" s="100"/>
      <c r="I24" s="100"/>
      <c r="J24" s="100"/>
      <c r="K24" s="100"/>
      <c r="M24" s="47"/>
    </row>
    <row r="25" spans="1:13" s="42" customFormat="1" ht="30" customHeight="1" thickBot="1">
      <c r="A25" s="41"/>
      <c r="B25" s="46">
        <v>6</v>
      </c>
      <c r="C25" s="122" t="str">
        <f ca="1">IF(ISBLANK(INDIRECT(ADDRESS(B25*2+2,3))),"",INDIRECT(ADDRESS(B25*2+2,3)))</f>
        <v>Смирнова Алина (ю)</v>
      </c>
      <c r="D25" s="122"/>
      <c r="E25" s="123"/>
      <c r="F25" s="43">
        <v>2</v>
      </c>
      <c r="G25" s="44">
        <v>13</v>
      </c>
      <c r="H25" s="124" t="str">
        <f ca="1">IF(ISBLANK(INDIRECT(ADDRESS(K25*2+2,3))),"",INDIRECT(ADDRESS(K25*2+2,3)))</f>
        <v>Рязанова Людмила</v>
      </c>
      <c r="I25" s="122"/>
      <c r="J25" s="122"/>
      <c r="K25" s="46">
        <v>4</v>
      </c>
      <c r="L25" s="45" t="s">
        <v>11</v>
      </c>
      <c r="M25" s="40"/>
    </row>
    <row r="26" spans="1:13" s="42" customFormat="1" ht="30" customHeight="1" thickBot="1">
      <c r="A26" s="41"/>
      <c r="B26" s="46">
        <v>5</v>
      </c>
      <c r="C26" s="122" t="str">
        <f ca="1">IF(ISBLANK(INDIRECT(ADDRESS(B26*2+2,3))),"",INDIRECT(ADDRESS(B26*2+2,3)))</f>
        <v>Смирнова Анастасия</v>
      </c>
      <c r="D26" s="122"/>
      <c r="E26" s="123"/>
      <c r="F26" s="43">
        <v>3</v>
      </c>
      <c r="G26" s="44">
        <v>13</v>
      </c>
      <c r="H26" s="124" t="str">
        <f ca="1">IF(ISBLANK(INDIRECT(ADDRESS(K26*2+2,3))),"",INDIRECT(ADDRESS(K26*2+2,3)))</f>
        <v>Королькова Екатерина</v>
      </c>
      <c r="I26" s="122"/>
      <c r="J26" s="122"/>
      <c r="K26" s="46">
        <v>3</v>
      </c>
      <c r="L26" s="45" t="s">
        <v>11</v>
      </c>
      <c r="M26" s="40"/>
    </row>
    <row r="27" spans="1:13" s="42" customFormat="1" ht="30" customHeight="1" thickBot="1">
      <c r="A27" s="41"/>
      <c r="B27" s="46">
        <v>1</v>
      </c>
      <c r="C27" s="122" t="str">
        <f ca="1">IF(ISBLANK(INDIRECT(ADDRESS(B27*2+2,3))),"",INDIRECT(ADDRESS(B27*2+2,3)))</f>
        <v>Семченкова Марина</v>
      </c>
      <c r="D27" s="122"/>
      <c r="E27" s="123"/>
      <c r="F27" s="43">
        <v>9</v>
      </c>
      <c r="G27" s="44">
        <v>10</v>
      </c>
      <c r="H27" s="124" t="str">
        <f ca="1">IF(ISBLANK(INDIRECT(ADDRESS(K27*2+2,3))),"",INDIRECT(ADDRESS(K27*2+2,3)))</f>
        <v>Захарова Екатерина</v>
      </c>
      <c r="I27" s="122"/>
      <c r="J27" s="122"/>
      <c r="K27" s="46">
        <v>2</v>
      </c>
      <c r="L27" s="45" t="s">
        <v>11</v>
      </c>
      <c r="M27" s="40"/>
    </row>
    <row r="28" spans="1:13" s="42" customFormat="1" ht="30" customHeight="1">
      <c r="A28" s="41"/>
      <c r="M28" s="47"/>
    </row>
    <row r="29" spans="1:13" s="42" customFormat="1" ht="30" customHeight="1" thickBot="1">
      <c r="A29" s="41"/>
      <c r="B29" s="100" t="s">
        <v>6</v>
      </c>
      <c r="C29" s="100"/>
      <c r="D29" s="100"/>
      <c r="E29" s="100"/>
      <c r="F29" s="100"/>
      <c r="G29" s="100"/>
      <c r="H29" s="100"/>
      <c r="I29" s="100"/>
      <c r="J29" s="100"/>
      <c r="K29" s="100"/>
      <c r="M29" s="47"/>
    </row>
    <row r="30" spans="1:13" s="42" customFormat="1" ht="30" customHeight="1" thickBot="1">
      <c r="A30" s="41"/>
      <c r="B30" s="46">
        <v>2</v>
      </c>
      <c r="C30" s="122" t="str">
        <f ca="1">IF(ISBLANK(INDIRECT(ADDRESS(B30*2+2,3))),"",INDIRECT(ADDRESS(B30*2+2,3)))</f>
        <v>Захарова Екатерина</v>
      </c>
      <c r="D30" s="122"/>
      <c r="E30" s="123"/>
      <c r="F30" s="43">
        <v>13</v>
      </c>
      <c r="G30" s="44">
        <v>1</v>
      </c>
      <c r="H30" s="124" t="str">
        <f ca="1">IF(ISBLANK(INDIRECT(ADDRESS(K30*2+2,3))),"",INDIRECT(ADDRESS(K30*2+2,3)))</f>
        <v>Смирнова Алина (ю)</v>
      </c>
      <c r="I30" s="122"/>
      <c r="J30" s="122"/>
      <c r="K30" s="46">
        <v>6</v>
      </c>
      <c r="L30" s="45" t="s">
        <v>11</v>
      </c>
      <c r="M30" s="40"/>
    </row>
    <row r="31" spans="1:13" s="42" customFormat="1" ht="30" customHeight="1" thickBot="1">
      <c r="A31" s="41"/>
      <c r="B31" s="46">
        <v>3</v>
      </c>
      <c r="C31" s="122" t="str">
        <f ca="1">IF(ISBLANK(INDIRECT(ADDRESS(B31*2+2,3))),"",INDIRECT(ADDRESS(B31*2+2,3)))</f>
        <v>Королькова Екатерина</v>
      </c>
      <c r="D31" s="122"/>
      <c r="E31" s="123"/>
      <c r="F31" s="43">
        <v>7</v>
      </c>
      <c r="G31" s="44">
        <v>13</v>
      </c>
      <c r="H31" s="124" t="str">
        <f ca="1">IF(ISBLANK(INDIRECT(ADDRESS(K31*2+2,3))),"",INDIRECT(ADDRESS(K31*2+2,3)))</f>
        <v>Семченкова Марина</v>
      </c>
      <c r="I31" s="122"/>
      <c r="J31" s="122"/>
      <c r="K31" s="46">
        <v>1</v>
      </c>
      <c r="L31" s="45" t="s">
        <v>11</v>
      </c>
      <c r="M31" s="40"/>
    </row>
    <row r="32" spans="1:13" s="42" customFormat="1" ht="30" customHeight="1" thickBot="1">
      <c r="A32" s="41"/>
      <c r="B32" s="46">
        <v>4</v>
      </c>
      <c r="C32" s="122" t="str">
        <f ca="1">IF(ISBLANK(INDIRECT(ADDRESS(B32*2+2,3))),"",INDIRECT(ADDRESS(B32*2+2,3)))</f>
        <v>Рязанова Людмила</v>
      </c>
      <c r="D32" s="122"/>
      <c r="E32" s="123"/>
      <c r="F32" s="43">
        <v>13</v>
      </c>
      <c r="G32" s="44">
        <v>1</v>
      </c>
      <c r="H32" s="124" t="str">
        <f ca="1">IF(ISBLANK(INDIRECT(ADDRESS(K32*2+2,3))),"",INDIRECT(ADDRESS(K32*2+2,3)))</f>
        <v>Смирнова Анастасия</v>
      </c>
      <c r="I32" s="122"/>
      <c r="J32" s="122"/>
      <c r="K32" s="46">
        <v>5</v>
      </c>
      <c r="L32" s="45" t="s">
        <v>11</v>
      </c>
      <c r="M32" s="40"/>
    </row>
    <row r="33" spans="1:13" s="42" customFormat="1" ht="30" customHeight="1">
      <c r="A33" s="41"/>
      <c r="M33" s="47"/>
    </row>
    <row r="34" spans="1:13" s="42" customFormat="1" ht="30" customHeight="1" thickBot="1">
      <c r="A34" s="41"/>
      <c r="B34" s="100" t="s">
        <v>8</v>
      </c>
      <c r="C34" s="100"/>
      <c r="D34" s="100"/>
      <c r="E34" s="100"/>
      <c r="F34" s="100"/>
      <c r="G34" s="100"/>
      <c r="H34" s="100"/>
      <c r="I34" s="100"/>
      <c r="J34" s="100"/>
      <c r="K34" s="100"/>
      <c r="M34" s="47"/>
    </row>
    <row r="35" spans="1:13" s="42" customFormat="1" ht="30" customHeight="1" thickBot="1">
      <c r="A35" s="41"/>
      <c r="B35" s="46">
        <v>6</v>
      </c>
      <c r="C35" s="122" t="str">
        <f ca="1">IF(ISBLANK(INDIRECT(ADDRESS(B35*2+2,3))),"",INDIRECT(ADDRESS(B35*2+2,3)))</f>
        <v>Смирнова Алина (ю)</v>
      </c>
      <c r="D35" s="122"/>
      <c r="E35" s="123"/>
      <c r="F35" s="43">
        <v>13</v>
      </c>
      <c r="G35" s="44">
        <v>9</v>
      </c>
      <c r="H35" s="124" t="str">
        <f ca="1">IF(ISBLANK(INDIRECT(ADDRESS(K35*2+2,3))),"",INDIRECT(ADDRESS(K35*2+2,3)))</f>
        <v>Смирнова Анастасия</v>
      </c>
      <c r="I35" s="122"/>
      <c r="J35" s="122"/>
      <c r="K35" s="46">
        <v>5</v>
      </c>
      <c r="L35" s="45" t="s">
        <v>11</v>
      </c>
      <c r="M35" s="40"/>
    </row>
    <row r="36" spans="1:13" s="42" customFormat="1" ht="30" customHeight="1" thickBot="1">
      <c r="A36" s="41"/>
      <c r="B36" s="46">
        <v>1</v>
      </c>
      <c r="C36" s="122" t="str">
        <f ca="1">IF(ISBLANK(INDIRECT(ADDRESS(B36*2+2,3))),"",INDIRECT(ADDRESS(B36*2+2,3)))</f>
        <v>Семченкова Марина</v>
      </c>
      <c r="D36" s="122"/>
      <c r="E36" s="123"/>
      <c r="F36" s="43">
        <v>8</v>
      </c>
      <c r="G36" s="44">
        <v>9</v>
      </c>
      <c r="H36" s="124" t="str">
        <f ca="1">IF(ISBLANK(INDIRECT(ADDRESS(K36*2+2,3))),"",INDIRECT(ADDRESS(K36*2+2,3)))</f>
        <v>Рязанова Людмила</v>
      </c>
      <c r="I36" s="122"/>
      <c r="J36" s="122"/>
      <c r="K36" s="46">
        <v>4</v>
      </c>
      <c r="L36" s="45" t="s">
        <v>11</v>
      </c>
      <c r="M36" s="40"/>
    </row>
    <row r="37" spans="1:13" s="42" customFormat="1" ht="30" customHeight="1" thickBot="1">
      <c r="A37" s="41"/>
      <c r="B37" s="46">
        <v>2</v>
      </c>
      <c r="C37" s="122" t="str">
        <f ca="1">IF(ISBLANK(INDIRECT(ADDRESS(B37*2+2,3))),"",INDIRECT(ADDRESS(B37*2+2,3)))</f>
        <v>Захарова Екатерина</v>
      </c>
      <c r="D37" s="122"/>
      <c r="E37" s="123"/>
      <c r="F37" s="43">
        <v>9</v>
      </c>
      <c r="G37" s="44">
        <v>13</v>
      </c>
      <c r="H37" s="124" t="str">
        <f ca="1">IF(ISBLANK(INDIRECT(ADDRESS(K37*2+2,3))),"",INDIRECT(ADDRESS(K37*2+2,3)))</f>
        <v>Королькова Екатерина</v>
      </c>
      <c r="I37" s="122"/>
      <c r="J37" s="122"/>
      <c r="K37" s="46">
        <v>3</v>
      </c>
      <c r="L37" s="45" t="s">
        <v>11</v>
      </c>
      <c r="M37" s="40"/>
    </row>
    <row r="38" spans="1:13" s="42" customFormat="1" ht="30" customHeight="1">
      <c r="A38" s="41"/>
      <c r="M38" s="47"/>
    </row>
    <row r="39" spans="1:13" s="42" customFormat="1" ht="30" customHeight="1" thickBot="1">
      <c r="A39" s="41"/>
      <c r="B39" s="100" t="s">
        <v>9</v>
      </c>
      <c r="C39" s="100"/>
      <c r="D39" s="100"/>
      <c r="E39" s="100"/>
      <c r="F39" s="100"/>
      <c r="G39" s="100"/>
      <c r="H39" s="100"/>
      <c r="I39" s="100"/>
      <c r="J39" s="100"/>
      <c r="K39" s="100"/>
      <c r="M39" s="47"/>
    </row>
    <row r="40" spans="1:13" s="42" customFormat="1" ht="30" customHeight="1" thickBot="1">
      <c r="A40" s="41"/>
      <c r="B40" s="46">
        <v>3</v>
      </c>
      <c r="C40" s="122" t="str">
        <f ca="1">IF(ISBLANK(INDIRECT(ADDRESS(B40*2+2,3))),"",INDIRECT(ADDRESS(B40*2+2,3)))</f>
        <v>Королькова Екатерина</v>
      </c>
      <c r="D40" s="122"/>
      <c r="E40" s="123"/>
      <c r="F40" s="43">
        <v>13</v>
      </c>
      <c r="G40" s="44">
        <v>1</v>
      </c>
      <c r="H40" s="124" t="str">
        <f ca="1">IF(ISBLANK(INDIRECT(ADDRESS(K40*2+2,3))),"",INDIRECT(ADDRESS(K40*2+2,3)))</f>
        <v>Смирнова Алина (ю)</v>
      </c>
      <c r="I40" s="122"/>
      <c r="J40" s="122"/>
      <c r="K40" s="46">
        <v>6</v>
      </c>
      <c r="L40" s="45" t="s">
        <v>11</v>
      </c>
      <c r="M40" s="40"/>
    </row>
    <row r="41" spans="1:13" s="42" customFormat="1" ht="30" customHeight="1" thickBot="1">
      <c r="A41" s="41"/>
      <c r="B41" s="46">
        <v>4</v>
      </c>
      <c r="C41" s="122" t="str">
        <f ca="1">IF(ISBLANK(INDIRECT(ADDRESS(B41*2+2,3))),"",INDIRECT(ADDRESS(B41*2+2,3)))</f>
        <v>Рязанова Людмила</v>
      </c>
      <c r="D41" s="122"/>
      <c r="E41" s="123"/>
      <c r="F41" s="43">
        <v>13</v>
      </c>
      <c r="G41" s="44">
        <v>4</v>
      </c>
      <c r="H41" s="124" t="str">
        <f ca="1">IF(ISBLANK(INDIRECT(ADDRESS(K41*2+2,3))),"",INDIRECT(ADDRESS(K41*2+2,3)))</f>
        <v>Захарова Екатерина</v>
      </c>
      <c r="I41" s="122"/>
      <c r="J41" s="122"/>
      <c r="K41" s="46">
        <v>2</v>
      </c>
      <c r="L41" s="45" t="s">
        <v>11</v>
      </c>
      <c r="M41" s="40"/>
    </row>
    <row r="42" spans="1:13" s="42" customFormat="1" ht="30" customHeight="1" thickBot="1">
      <c r="A42" s="41"/>
      <c r="B42" s="46">
        <v>5</v>
      </c>
      <c r="C42" s="122" t="str">
        <f ca="1">IF(ISBLANK(INDIRECT(ADDRESS(B42*2+2,3))),"",INDIRECT(ADDRESS(B42*2+2,3)))</f>
        <v>Смирнова Анастасия</v>
      </c>
      <c r="D42" s="122"/>
      <c r="E42" s="123"/>
      <c r="F42" s="43">
        <v>3</v>
      </c>
      <c r="G42" s="44">
        <v>13</v>
      </c>
      <c r="H42" s="124" t="str">
        <f ca="1">IF(ISBLANK(INDIRECT(ADDRESS(K42*2+2,3))),"",INDIRECT(ADDRESS(K42*2+2,3)))</f>
        <v>Семченкова Марина</v>
      </c>
      <c r="I42" s="122"/>
      <c r="J42" s="122"/>
      <c r="K42" s="46">
        <v>1</v>
      </c>
      <c r="L42" s="45" t="s">
        <v>11</v>
      </c>
      <c r="M42" s="40"/>
    </row>
    <row r="45" spans="1:13" ht="21">
      <c r="B45" s="39"/>
      <c r="C45" s="50" t="s">
        <v>17</v>
      </c>
      <c r="D45" s="50"/>
      <c r="E45" s="50"/>
    </row>
    <row r="46" spans="1:13" ht="21">
      <c r="B46" s="39"/>
      <c r="C46" s="50"/>
      <c r="D46" s="50"/>
      <c r="E46" s="50"/>
    </row>
    <row r="47" spans="1:13" ht="21">
      <c r="B47" s="39"/>
      <c r="C47" s="50"/>
      <c r="D47" s="50"/>
      <c r="E47" s="50"/>
    </row>
    <row r="48" spans="1:13" ht="21">
      <c r="B48" s="39"/>
      <c r="C48" s="50" t="s">
        <v>33</v>
      </c>
      <c r="D48" s="50"/>
      <c r="E48" s="50"/>
    </row>
  </sheetData>
  <sheetCalcPr fullCalcOnLoad="1"/>
  <mergeCells count="61">
    <mergeCell ref="H31:J31"/>
    <mergeCell ref="C32:E32"/>
    <mergeCell ref="H32:J32"/>
    <mergeCell ref="C40:E40"/>
    <mergeCell ref="H40:J40"/>
    <mergeCell ref="C41:E41"/>
    <mergeCell ref="H41:J41"/>
    <mergeCell ref="H35:J35"/>
    <mergeCell ref="C36:E36"/>
    <mergeCell ref="H36:J36"/>
    <mergeCell ref="C42:E42"/>
    <mergeCell ref="H42:J42"/>
    <mergeCell ref="H27:J27"/>
    <mergeCell ref="B39:K39"/>
    <mergeCell ref="C30:E30"/>
    <mergeCell ref="H30:J30"/>
    <mergeCell ref="C31:E31"/>
    <mergeCell ref="C37:E37"/>
    <mergeCell ref="H37:J37"/>
    <mergeCell ref="B29:K29"/>
    <mergeCell ref="C22:E22"/>
    <mergeCell ref="H22:J22"/>
    <mergeCell ref="C26:E26"/>
    <mergeCell ref="H26:J26"/>
    <mergeCell ref="C27:E27"/>
    <mergeCell ref="B34:K34"/>
    <mergeCell ref="C35:E35"/>
    <mergeCell ref="C21:E21"/>
    <mergeCell ref="H21:J21"/>
    <mergeCell ref="B24:K24"/>
    <mergeCell ref="C25:E25"/>
    <mergeCell ref="H25:J25"/>
    <mergeCell ref="B12:B13"/>
    <mergeCell ref="C12:E13"/>
    <mergeCell ref="B19:K19"/>
    <mergeCell ref="C20:E20"/>
    <mergeCell ref="H20:J20"/>
    <mergeCell ref="N12:N13"/>
    <mergeCell ref="B14:B15"/>
    <mergeCell ref="C14:E15"/>
    <mergeCell ref="L14:L15"/>
    <mergeCell ref="N14:N15"/>
    <mergeCell ref="L12:L13"/>
    <mergeCell ref="B8:B9"/>
    <mergeCell ref="C8:E9"/>
    <mergeCell ref="L8:L9"/>
    <mergeCell ref="N8:N9"/>
    <mergeCell ref="B10:B11"/>
    <mergeCell ref="C10:E11"/>
    <mergeCell ref="L10:L11"/>
    <mergeCell ref="N10:N11"/>
    <mergeCell ref="B1:N1"/>
    <mergeCell ref="N6:N7"/>
    <mergeCell ref="C3:E3"/>
    <mergeCell ref="B4:B5"/>
    <mergeCell ref="C4:E5"/>
    <mergeCell ref="L4:L5"/>
    <mergeCell ref="N4:N5"/>
    <mergeCell ref="B6:B7"/>
    <mergeCell ref="C6:E7"/>
    <mergeCell ref="L6:L7"/>
  </mergeCells>
  <phoneticPr fontId="0" type="noConversion"/>
  <printOptions horizontalCentered="1"/>
  <pageMargins left="0.25" right="0.25" top="0.75" bottom="0.75" header="0.3" footer="0.3"/>
  <pageSetup paperSize="9" scale="66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46"/>
  <sheetViews>
    <sheetView zoomScaleNormal="100" workbookViewId="0">
      <selection activeCell="J46" sqref="A42:J46"/>
    </sheetView>
  </sheetViews>
  <sheetFormatPr defaultRowHeight="15" customHeight="1"/>
  <cols>
    <col min="1" max="1" width="9.140625" style="39"/>
    <col min="2" max="16384" width="9.140625" style="25"/>
  </cols>
  <sheetData>
    <row r="1" spans="2:14" ht="59.25" customHeight="1">
      <c r="B1" s="139" t="s">
        <v>77</v>
      </c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</row>
    <row r="2" spans="2:14" ht="15" customHeight="1">
      <c r="C2" s="32"/>
    </row>
    <row r="3" spans="2:14" ht="15" customHeight="1">
      <c r="C3" s="32"/>
    </row>
    <row r="4" spans="2:14" ht="15" customHeight="1">
      <c r="B4" s="149" t="s">
        <v>79</v>
      </c>
      <c r="C4" s="148"/>
      <c r="D4" s="90">
        <v>8</v>
      </c>
      <c r="E4" s="26"/>
    </row>
    <row r="5" spans="2:14" ht="15" customHeight="1">
      <c r="C5" s="32"/>
      <c r="E5" s="27"/>
    </row>
    <row r="6" spans="2:14" ht="15" customHeight="1">
      <c r="B6" s="31" t="s">
        <v>11</v>
      </c>
      <c r="C6" s="32"/>
      <c r="E6" s="28"/>
      <c r="F6" s="147" t="str">
        <f>IF(ISBLANK(D4),"",IF(D4&gt;D8,B4,B8))</f>
        <v>Лукина</v>
      </c>
      <c r="G6" s="148"/>
      <c r="H6" s="90">
        <v>13</v>
      </c>
      <c r="I6" s="26"/>
    </row>
    <row r="7" spans="2:14" ht="15" customHeight="1">
      <c r="C7" s="32"/>
      <c r="E7" s="28"/>
      <c r="I7" s="27"/>
    </row>
    <row r="8" spans="2:14" ht="15" customHeight="1">
      <c r="B8" s="149" t="s">
        <v>78</v>
      </c>
      <c r="C8" s="148"/>
      <c r="D8" s="90">
        <v>6</v>
      </c>
      <c r="E8" s="29"/>
      <c r="I8" s="28"/>
    </row>
    <row r="9" spans="2:14" ht="15" customHeight="1">
      <c r="C9" s="32"/>
      <c r="I9" s="28"/>
    </row>
    <row r="10" spans="2:14" ht="15" customHeight="1">
      <c r="C10" s="32"/>
      <c r="G10" s="31" t="s">
        <v>11</v>
      </c>
      <c r="H10" s="32"/>
      <c r="I10" s="28"/>
      <c r="J10" s="147" t="str">
        <f>IF(ISBLANK(H6),"",IF(H6&gt;H14,F6,F14))</f>
        <v>Лукина</v>
      </c>
      <c r="K10" s="149"/>
      <c r="L10" s="90">
        <v>13</v>
      </c>
      <c r="M10" s="26"/>
    </row>
    <row r="11" spans="2:14" ht="15" customHeight="1">
      <c r="C11" s="32"/>
      <c r="I11" s="28"/>
      <c r="M11" s="27"/>
    </row>
    <row r="12" spans="2:14" ht="15" customHeight="1">
      <c r="B12" s="149" t="s">
        <v>80</v>
      </c>
      <c r="C12" s="148"/>
      <c r="D12" s="90">
        <v>9</v>
      </c>
      <c r="E12" s="26"/>
      <c r="I12" s="28"/>
      <c r="M12" s="28"/>
    </row>
    <row r="13" spans="2:14" ht="15" customHeight="1">
      <c r="C13" s="32"/>
      <c r="E13" s="27"/>
      <c r="I13" s="28"/>
      <c r="M13" s="28"/>
    </row>
    <row r="14" spans="2:14" ht="15" customHeight="1">
      <c r="B14" s="31" t="s">
        <v>11</v>
      </c>
      <c r="C14" s="32"/>
      <c r="E14" s="28"/>
      <c r="F14" s="147" t="str">
        <f>IF(ISBLANK(D12),"",IF(D12&gt;D16,B12,B16))</f>
        <v>Румянцева</v>
      </c>
      <c r="G14" s="148"/>
      <c r="H14" s="90">
        <v>1</v>
      </c>
      <c r="I14" s="29"/>
      <c r="M14" s="28"/>
    </row>
    <row r="15" spans="2:14" ht="15" customHeight="1">
      <c r="E15" s="28"/>
      <c r="M15" s="28"/>
    </row>
    <row r="16" spans="2:14" ht="15" customHeight="1">
      <c r="B16" s="149" t="s">
        <v>81</v>
      </c>
      <c r="C16" s="148"/>
      <c r="D16" s="90">
        <v>12</v>
      </c>
      <c r="E16" s="29"/>
      <c r="M16" s="28"/>
    </row>
    <row r="17" spans="2:15" ht="15" customHeight="1">
      <c r="M17" s="28"/>
    </row>
    <row r="18" spans="2:15" ht="15" customHeight="1">
      <c r="B18" s="31"/>
      <c r="K18" s="31" t="s">
        <v>11</v>
      </c>
      <c r="L18" s="32"/>
      <c r="M18" s="28"/>
      <c r="N18" s="147" t="str">
        <f>IF(ISBLANK(L10),"",IF(L10&gt;L26,J10,J26))</f>
        <v>Лукина</v>
      </c>
      <c r="O18" s="149"/>
    </row>
    <row r="19" spans="2:15" ht="15" customHeight="1">
      <c r="M19" s="28"/>
    </row>
    <row r="20" spans="2:15" ht="15" customHeight="1">
      <c r="B20" s="149" t="s">
        <v>84</v>
      </c>
      <c r="C20" s="148"/>
      <c r="D20" s="90">
        <v>13</v>
      </c>
      <c r="E20" s="26"/>
      <c r="M20" s="28"/>
    </row>
    <row r="21" spans="2:15" ht="15" customHeight="1">
      <c r="E21" s="27"/>
      <c r="M21" s="28"/>
    </row>
    <row r="22" spans="2:15" ht="15" customHeight="1">
      <c r="B22" s="31" t="s">
        <v>11</v>
      </c>
      <c r="C22" s="32"/>
      <c r="E22" s="28"/>
      <c r="F22" s="147" t="str">
        <f>IF(ISBLANK(D20),"",IF(D20&gt;D24,B20,B24))</f>
        <v>Потапова</v>
      </c>
      <c r="G22" s="148"/>
      <c r="H22" s="90">
        <v>13</v>
      </c>
      <c r="I22" s="26"/>
      <c r="M22" s="28"/>
    </row>
    <row r="23" spans="2:15" ht="15" customHeight="1">
      <c r="E23" s="28"/>
      <c r="I23" s="27"/>
      <c r="M23" s="28"/>
    </row>
    <row r="24" spans="2:15" ht="15" customHeight="1">
      <c r="B24" s="149" t="s">
        <v>82</v>
      </c>
      <c r="C24" s="148"/>
      <c r="D24" s="90">
        <v>11</v>
      </c>
      <c r="E24" s="29"/>
      <c r="I24" s="28"/>
      <c r="M24" s="28"/>
    </row>
    <row r="25" spans="2:15" ht="15" customHeight="1">
      <c r="I25" s="28"/>
      <c r="M25" s="28"/>
    </row>
    <row r="26" spans="2:15" ht="15" customHeight="1">
      <c r="G26" s="31" t="s">
        <v>11</v>
      </c>
      <c r="H26" s="32"/>
      <c r="I26" s="28"/>
      <c r="J26" s="147" t="str">
        <f>IF(ISBLANK(H22),"",IF(H22&gt;H30,F22,F30))</f>
        <v>Потапова</v>
      </c>
      <c r="K26" s="148"/>
      <c r="L26" s="90">
        <v>11</v>
      </c>
      <c r="M26" s="29"/>
    </row>
    <row r="27" spans="2:15" ht="15" customHeight="1">
      <c r="I27" s="28"/>
    </row>
    <row r="28" spans="2:15" ht="15" customHeight="1">
      <c r="B28" s="149" t="s">
        <v>83</v>
      </c>
      <c r="C28" s="148"/>
      <c r="D28" s="90">
        <v>13</v>
      </c>
      <c r="E28" s="26"/>
      <c r="I28" s="28"/>
    </row>
    <row r="29" spans="2:15" ht="15" customHeight="1">
      <c r="E29" s="27"/>
      <c r="I29" s="28"/>
    </row>
    <row r="30" spans="2:15" ht="15" customHeight="1">
      <c r="B30" s="31" t="s">
        <v>11</v>
      </c>
      <c r="C30" s="32"/>
      <c r="E30" s="28"/>
      <c r="F30" s="147" t="str">
        <f>IF(ISBLANK(D28),"",IF(D28&gt;D32,B28,B32))</f>
        <v>Королькова</v>
      </c>
      <c r="G30" s="148"/>
      <c r="H30" s="90">
        <v>7</v>
      </c>
      <c r="I30" s="29"/>
    </row>
    <row r="31" spans="2:15" ht="15" customHeight="1">
      <c r="E31" s="28"/>
    </row>
    <row r="32" spans="2:15" ht="15" customHeight="1">
      <c r="B32" s="149" t="s">
        <v>85</v>
      </c>
      <c r="C32" s="148"/>
      <c r="D32" s="90">
        <v>5</v>
      </c>
      <c r="E32" s="29"/>
    </row>
    <row r="36" spans="2:9" ht="15" customHeight="1">
      <c r="B36" s="149" t="str">
        <f>IF(ISBLANK(H6),"",IF(H6&gt;H14,F14,F6))</f>
        <v>Румянцева</v>
      </c>
      <c r="C36" s="148"/>
      <c r="D36" s="90">
        <v>13</v>
      </c>
      <c r="E36" s="26"/>
      <c r="F36" s="150"/>
      <c r="G36" s="150"/>
    </row>
    <row r="37" spans="2:9" ht="15" customHeight="1">
      <c r="E37" s="27"/>
    </row>
    <row r="38" spans="2:9" ht="15" customHeight="1">
      <c r="C38" s="31" t="s">
        <v>11</v>
      </c>
      <c r="E38" s="28"/>
      <c r="F38" s="147" t="str">
        <f>IF(ISBLANK(D36),"",IF(D36&gt;D40,B36,B40))</f>
        <v>Румянцева</v>
      </c>
      <c r="G38" s="149"/>
    </row>
    <row r="39" spans="2:9" ht="15" customHeight="1">
      <c r="E39" s="28"/>
    </row>
    <row r="40" spans="2:9" ht="15" customHeight="1">
      <c r="B40" s="149" t="str">
        <f>IF(ISBLANK(H22),"",IF(H22&gt;H30,F30,F22))</f>
        <v>Королькова</v>
      </c>
      <c r="C40" s="148"/>
      <c r="D40" s="90">
        <v>5</v>
      </c>
      <c r="E40" s="29"/>
    </row>
    <row r="43" spans="2:9" ht="17.25" customHeight="1">
      <c r="B43" s="39"/>
      <c r="C43" s="50" t="s">
        <v>17</v>
      </c>
      <c r="D43" s="50"/>
      <c r="E43" s="50"/>
      <c r="F43"/>
      <c r="G43"/>
      <c r="H43"/>
      <c r="I43"/>
    </row>
    <row r="44" spans="2:9" ht="15" customHeight="1">
      <c r="B44" s="39"/>
      <c r="C44" s="50"/>
      <c r="D44" s="50"/>
      <c r="E44" s="50"/>
      <c r="F44"/>
      <c r="G44"/>
      <c r="H44"/>
      <c r="I44"/>
    </row>
    <row r="45" spans="2:9" ht="15" customHeight="1">
      <c r="B45" s="39"/>
      <c r="C45" s="50"/>
      <c r="D45" s="50"/>
      <c r="E45" s="50"/>
      <c r="F45"/>
      <c r="G45"/>
      <c r="H45"/>
      <c r="I45"/>
    </row>
    <row r="46" spans="2:9" ht="18" customHeight="1">
      <c r="B46" s="39"/>
      <c r="C46" s="50" t="s">
        <v>33</v>
      </c>
      <c r="D46" s="50"/>
      <c r="E46" s="50"/>
      <c r="F46"/>
      <c r="G46"/>
      <c r="H46"/>
      <c r="I46"/>
    </row>
  </sheetData>
  <mergeCells count="20">
    <mergeCell ref="J26:K26"/>
    <mergeCell ref="B24:C24"/>
    <mergeCell ref="J10:K10"/>
    <mergeCell ref="B1:N1"/>
    <mergeCell ref="B4:C4"/>
    <mergeCell ref="F6:G6"/>
    <mergeCell ref="B8:C8"/>
    <mergeCell ref="B12:C12"/>
    <mergeCell ref="N18:O18"/>
    <mergeCell ref="B20:C20"/>
    <mergeCell ref="F22:G22"/>
    <mergeCell ref="B16:C16"/>
    <mergeCell ref="F14:G14"/>
    <mergeCell ref="B40:C40"/>
    <mergeCell ref="B28:C28"/>
    <mergeCell ref="F30:G30"/>
    <mergeCell ref="B32:C32"/>
    <mergeCell ref="B36:C36"/>
    <mergeCell ref="F36:G36"/>
    <mergeCell ref="F38:G38"/>
  </mergeCells>
  <phoneticPr fontId="16" type="noConversion"/>
  <pageMargins left="0.25" right="0.25" top="0.75" bottom="0.75" header="0.3" footer="0.3"/>
  <pageSetup paperSize="9" scale="78" orientation="landscape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30"/>
  <sheetViews>
    <sheetView workbookViewId="0">
      <selection activeCell="C42" sqref="C42:C47"/>
    </sheetView>
  </sheetViews>
  <sheetFormatPr defaultRowHeight="15" customHeight="1"/>
  <cols>
    <col min="1" max="1" width="9.140625" style="39"/>
    <col min="2" max="16384" width="9.140625" style="25"/>
  </cols>
  <sheetData>
    <row r="1" spans="2:14" ht="59.25" customHeight="1">
      <c r="B1" s="139" t="s">
        <v>86</v>
      </c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</row>
    <row r="2" spans="2:14" ht="15" customHeight="1">
      <c r="C2" s="32"/>
    </row>
    <row r="3" spans="2:14" ht="15" customHeight="1">
      <c r="C3" s="32"/>
    </row>
    <row r="4" spans="2:14" ht="15" customHeight="1">
      <c r="B4" s="149" t="s">
        <v>87</v>
      </c>
      <c r="C4" s="148"/>
      <c r="D4" s="90">
        <v>12</v>
      </c>
      <c r="E4" s="26"/>
    </row>
    <row r="5" spans="2:14" ht="15" customHeight="1">
      <c r="C5" s="32"/>
      <c r="E5" s="27"/>
    </row>
    <row r="6" spans="2:14" ht="15" customHeight="1">
      <c r="B6" s="31" t="s">
        <v>11</v>
      </c>
      <c r="C6" s="32"/>
      <c r="E6" s="28"/>
      <c r="F6" s="147" t="str">
        <f>IF(ISBLANK(D4),"",IF(D4&gt;D8,B4,B8))</f>
        <v>Семченкова</v>
      </c>
      <c r="G6" s="148"/>
      <c r="H6" s="90">
        <v>13</v>
      </c>
      <c r="I6" s="26"/>
    </row>
    <row r="7" spans="2:14" ht="15" customHeight="1">
      <c r="C7" s="32"/>
      <c r="E7" s="28"/>
      <c r="I7" s="27"/>
    </row>
    <row r="8" spans="2:14" ht="15" customHeight="1">
      <c r="B8" s="149" t="s">
        <v>80</v>
      </c>
      <c r="C8" s="148"/>
      <c r="D8" s="90">
        <v>11</v>
      </c>
      <c r="E8" s="29"/>
      <c r="I8" s="28"/>
    </row>
    <row r="9" spans="2:14" ht="15" customHeight="1">
      <c r="C9" s="32"/>
      <c r="I9" s="28"/>
    </row>
    <row r="10" spans="2:14" ht="15" customHeight="1">
      <c r="C10" s="32"/>
      <c r="G10" s="31" t="s">
        <v>11</v>
      </c>
      <c r="H10" s="32"/>
      <c r="I10" s="28"/>
      <c r="J10" s="147" t="str">
        <f>IF(ISBLANK(H6),"",IF(H6&gt;H14,F6,F14))</f>
        <v>Семченкова</v>
      </c>
      <c r="K10" s="149"/>
      <c r="L10" s="38"/>
      <c r="M10" s="30"/>
    </row>
    <row r="11" spans="2:14" ht="15" customHeight="1">
      <c r="C11" s="32"/>
      <c r="I11" s="28"/>
      <c r="M11" s="30"/>
    </row>
    <row r="12" spans="2:14" ht="15" customHeight="1">
      <c r="B12" s="149" t="s">
        <v>82</v>
      </c>
      <c r="C12" s="148"/>
      <c r="D12" s="90">
        <v>8</v>
      </c>
      <c r="E12" s="26"/>
      <c r="I12" s="28"/>
      <c r="M12" s="30"/>
    </row>
    <row r="13" spans="2:14" ht="15" customHeight="1">
      <c r="C13" s="32"/>
      <c r="E13" s="27"/>
      <c r="I13" s="28"/>
      <c r="M13" s="30"/>
    </row>
    <row r="14" spans="2:14" ht="15" customHeight="1">
      <c r="B14" s="31" t="s">
        <v>11</v>
      </c>
      <c r="C14" s="32"/>
      <c r="E14" s="28"/>
      <c r="F14" s="147" t="str">
        <f>IF(ISBLANK(D12),"",IF(D12&gt;D16,B12,B16))</f>
        <v>Москаленко</v>
      </c>
      <c r="G14" s="148"/>
      <c r="H14" s="90">
        <v>4</v>
      </c>
      <c r="I14" s="29"/>
      <c r="M14" s="30"/>
    </row>
    <row r="15" spans="2:14" ht="15" customHeight="1">
      <c r="E15" s="28"/>
      <c r="M15" s="30"/>
    </row>
    <row r="16" spans="2:14" ht="15" customHeight="1">
      <c r="B16" s="149" t="s">
        <v>85</v>
      </c>
      <c r="C16" s="148"/>
      <c r="D16" s="90">
        <v>13</v>
      </c>
      <c r="E16" s="29"/>
      <c r="M16" s="30"/>
    </row>
    <row r="17" spans="2:13" ht="15" customHeight="1">
      <c r="M17" s="30"/>
    </row>
    <row r="20" spans="2:13" ht="15" customHeight="1">
      <c r="B20" s="149" t="str">
        <f>IF(ISBLANK(D4),"",IF(D4&gt;D8,B8,B4))</f>
        <v>Рязанова</v>
      </c>
      <c r="C20" s="148"/>
      <c r="D20" s="90">
        <v>4</v>
      </c>
      <c r="E20" s="26"/>
      <c r="F20" s="150"/>
      <c r="G20" s="150"/>
    </row>
    <row r="21" spans="2:13" ht="15" customHeight="1">
      <c r="E21" s="27"/>
    </row>
    <row r="22" spans="2:13" ht="15" customHeight="1">
      <c r="C22" s="31" t="s">
        <v>11</v>
      </c>
      <c r="E22" s="28"/>
      <c r="F22" s="147" t="str">
        <f>IF(ISBLANK(D20),"",IF(D20&gt;D24,B20,B24))</f>
        <v>Захарова</v>
      </c>
      <c r="G22" s="149"/>
    </row>
    <row r="23" spans="2:13" ht="15" customHeight="1">
      <c r="E23" s="28"/>
    </row>
    <row r="24" spans="2:13" ht="15" customHeight="1">
      <c r="B24" s="149" t="str">
        <f>IF(ISBLANK(D12),"",IF(D12&gt;D16,B16,B12))</f>
        <v>Захарова</v>
      </c>
      <c r="C24" s="148"/>
      <c r="D24" s="90">
        <v>13</v>
      </c>
      <c r="E24" s="29"/>
    </row>
    <row r="27" spans="2:13" ht="16.5" customHeight="1">
      <c r="B27" s="39"/>
      <c r="C27" s="50" t="s">
        <v>17</v>
      </c>
      <c r="D27" s="50"/>
      <c r="E27" s="50"/>
      <c r="F27"/>
      <c r="G27"/>
      <c r="H27"/>
      <c r="I27"/>
    </row>
    <row r="28" spans="2:13" ht="15" customHeight="1">
      <c r="B28" s="39"/>
      <c r="C28" s="50"/>
      <c r="D28" s="50"/>
      <c r="E28" s="50"/>
      <c r="F28"/>
      <c r="G28"/>
      <c r="H28"/>
      <c r="I28"/>
    </row>
    <row r="29" spans="2:13" ht="15" customHeight="1">
      <c r="B29" s="39"/>
      <c r="C29" s="50"/>
      <c r="D29" s="50"/>
      <c r="E29" s="50"/>
      <c r="F29"/>
      <c r="G29"/>
      <c r="H29"/>
      <c r="I29"/>
    </row>
    <row r="30" spans="2:13" ht="18.75" customHeight="1">
      <c r="B30" s="39"/>
      <c r="C30" s="50" t="s">
        <v>33</v>
      </c>
      <c r="D30" s="50"/>
      <c r="E30" s="50"/>
      <c r="F30"/>
      <c r="G30"/>
      <c r="H30"/>
      <c r="I30"/>
    </row>
  </sheetData>
  <mergeCells count="12">
    <mergeCell ref="B4:C4"/>
    <mergeCell ref="F6:G6"/>
    <mergeCell ref="B8:C8"/>
    <mergeCell ref="B1:N1"/>
    <mergeCell ref="J10:K10"/>
    <mergeCell ref="B24:C24"/>
    <mergeCell ref="B20:C20"/>
    <mergeCell ref="F20:G20"/>
    <mergeCell ref="B12:C12"/>
    <mergeCell ref="F14:G14"/>
    <mergeCell ref="B16:C16"/>
    <mergeCell ref="F22:G22"/>
  </mergeCells>
  <phoneticPr fontId="16" type="noConversion"/>
  <pageMargins left="0.70866141732283472" right="0.70866141732283472" top="0.74803149606299213" bottom="0.74803149606299213" header="0.31496062992125984" footer="0.31496062992125984"/>
  <pageSetup paperSize="9" orientation="landscape" horizontalDpi="1200" verticalDpi="12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30"/>
  <sheetViews>
    <sheetView workbookViewId="0">
      <selection activeCell="H16" sqref="H16"/>
    </sheetView>
  </sheetViews>
  <sheetFormatPr defaultRowHeight="15" customHeight="1"/>
  <cols>
    <col min="1" max="1" width="9.140625" style="39"/>
    <col min="2" max="16384" width="9.140625" style="25"/>
  </cols>
  <sheetData>
    <row r="1" spans="2:14" ht="59.25" customHeight="1">
      <c r="B1" s="139" t="s">
        <v>88</v>
      </c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</row>
    <row r="2" spans="2:14" ht="15" customHeight="1">
      <c r="C2" s="32"/>
    </row>
    <row r="3" spans="2:14" ht="15" customHeight="1">
      <c r="C3" s="32"/>
    </row>
    <row r="4" spans="2:14" ht="15" customHeight="1">
      <c r="B4" s="149" t="s">
        <v>68</v>
      </c>
      <c r="C4" s="148"/>
      <c r="D4" s="90">
        <v>2</v>
      </c>
      <c r="E4" s="26"/>
    </row>
    <row r="5" spans="2:14" ht="15" customHeight="1">
      <c r="C5" s="32"/>
      <c r="E5" s="27"/>
    </row>
    <row r="6" spans="2:14" ht="15" customHeight="1">
      <c r="B6" s="31" t="s">
        <v>11</v>
      </c>
      <c r="C6" s="32"/>
      <c r="E6" s="28"/>
      <c r="F6" s="147" t="str">
        <f>IF(ISBLANK(D4),"",IF(D4&gt;D8,B4,B8))</f>
        <v>Смирнова Анастасия</v>
      </c>
      <c r="G6" s="148"/>
      <c r="H6" s="90">
        <v>8</v>
      </c>
      <c r="I6" s="26"/>
    </row>
    <row r="7" spans="2:14" ht="15" customHeight="1">
      <c r="C7" s="32"/>
      <c r="E7" s="28"/>
      <c r="I7" s="27"/>
    </row>
    <row r="8" spans="2:14" ht="15" customHeight="1">
      <c r="B8" s="149" t="s">
        <v>75</v>
      </c>
      <c r="C8" s="148"/>
      <c r="D8" s="90">
        <v>13</v>
      </c>
      <c r="E8" s="29"/>
      <c r="I8" s="28"/>
    </row>
    <row r="9" spans="2:14" ht="15" customHeight="1">
      <c r="C9" s="32"/>
      <c r="I9" s="28"/>
    </row>
    <row r="10" spans="2:14" ht="15" customHeight="1">
      <c r="C10" s="32"/>
      <c r="G10" s="31" t="s">
        <v>11</v>
      </c>
      <c r="H10" s="32"/>
      <c r="I10" s="28"/>
      <c r="J10" s="147" t="str">
        <f>IF(ISBLANK(H6),"",IF(H6&gt;H14,F6,F14))</f>
        <v>Косова Ксения</v>
      </c>
      <c r="K10" s="149"/>
      <c r="L10" s="38"/>
      <c r="M10" s="30"/>
    </row>
    <row r="11" spans="2:14" ht="15" customHeight="1">
      <c r="C11" s="32"/>
      <c r="I11" s="28"/>
      <c r="M11" s="30"/>
    </row>
    <row r="12" spans="2:14" ht="15" customHeight="1">
      <c r="B12" s="149" t="s">
        <v>89</v>
      </c>
      <c r="C12" s="148"/>
      <c r="D12" s="90">
        <v>12</v>
      </c>
      <c r="E12" s="26"/>
      <c r="I12" s="28"/>
      <c r="M12" s="30"/>
    </row>
    <row r="13" spans="2:14" ht="15" customHeight="1">
      <c r="C13" s="32"/>
      <c r="E13" s="27"/>
      <c r="I13" s="28"/>
      <c r="M13" s="30"/>
    </row>
    <row r="14" spans="2:14" ht="15" customHeight="1">
      <c r="B14" s="31" t="s">
        <v>11</v>
      </c>
      <c r="C14" s="32"/>
      <c r="E14" s="28"/>
      <c r="F14" s="147" t="str">
        <f>IF(ISBLANK(D12),"",IF(D12&gt;D16,B12,B16))</f>
        <v>Косова Ксения</v>
      </c>
      <c r="G14" s="148"/>
      <c r="H14" s="90">
        <v>15</v>
      </c>
      <c r="I14" s="29"/>
      <c r="M14" s="30"/>
    </row>
    <row r="15" spans="2:14" ht="15" customHeight="1">
      <c r="E15" s="28"/>
      <c r="M15" s="30"/>
    </row>
    <row r="16" spans="2:14" ht="15" customHeight="1">
      <c r="B16" s="149" t="s">
        <v>70</v>
      </c>
      <c r="C16" s="148"/>
      <c r="D16" s="90">
        <v>13</v>
      </c>
      <c r="E16" s="29"/>
      <c r="M16" s="30"/>
    </row>
    <row r="17" spans="2:13" ht="15" customHeight="1">
      <c r="M17" s="30"/>
    </row>
    <row r="20" spans="2:13" ht="15" customHeight="1">
      <c r="B20" s="149" t="str">
        <f>IF(ISBLANK(D4),"",IF(D4&gt;D8,B8,B4))</f>
        <v>Косова Виктория</v>
      </c>
      <c r="C20" s="148"/>
      <c r="D20" s="90">
        <v>13</v>
      </c>
      <c r="E20" s="26"/>
      <c r="F20" s="150"/>
      <c r="G20" s="150"/>
    </row>
    <row r="21" spans="2:13" ht="15" customHeight="1">
      <c r="E21" s="27"/>
    </row>
    <row r="22" spans="2:13" ht="15" customHeight="1">
      <c r="C22" s="31" t="s">
        <v>11</v>
      </c>
      <c r="E22" s="28"/>
      <c r="F22" s="147" t="str">
        <f>IF(ISBLANK(D20),"",IF(D20&gt;D24,B20,B24))</f>
        <v>Косова Виктория</v>
      </c>
      <c r="G22" s="149"/>
    </row>
    <row r="23" spans="2:13" ht="15" customHeight="1">
      <c r="E23" s="28"/>
    </row>
    <row r="24" spans="2:13" ht="15" customHeight="1">
      <c r="B24" s="149" t="str">
        <f>IF(ISBLANK(D12),"",IF(D12&gt;D16,B16,B12))</f>
        <v>Смиронова Алина</v>
      </c>
      <c r="C24" s="148"/>
      <c r="D24" s="90">
        <v>5</v>
      </c>
      <c r="E24" s="29"/>
    </row>
    <row r="27" spans="2:13" ht="15" customHeight="1">
      <c r="B27" s="39"/>
      <c r="C27" s="50" t="s">
        <v>17</v>
      </c>
      <c r="D27" s="50"/>
      <c r="E27" s="50"/>
      <c r="F27"/>
      <c r="G27"/>
      <c r="H27"/>
      <c r="I27"/>
    </row>
    <row r="28" spans="2:13" ht="15" customHeight="1">
      <c r="B28" s="39"/>
      <c r="C28" s="50"/>
      <c r="D28" s="50"/>
      <c r="E28" s="50"/>
      <c r="F28"/>
      <c r="G28"/>
      <c r="H28"/>
      <c r="I28"/>
    </row>
    <row r="29" spans="2:13" ht="15" customHeight="1">
      <c r="B29" s="39"/>
      <c r="C29" s="50"/>
      <c r="D29" s="50"/>
      <c r="E29" s="50"/>
      <c r="F29"/>
      <c r="G29"/>
      <c r="H29"/>
      <c r="I29"/>
    </row>
    <row r="30" spans="2:13" ht="15" customHeight="1">
      <c r="B30" s="39"/>
      <c r="C30" s="50" t="s">
        <v>33</v>
      </c>
      <c r="D30" s="50"/>
      <c r="E30" s="50"/>
      <c r="F30"/>
      <c r="G30"/>
      <c r="H30"/>
      <c r="I30"/>
    </row>
  </sheetData>
  <mergeCells count="12">
    <mergeCell ref="F22:G22"/>
    <mergeCell ref="B24:C24"/>
    <mergeCell ref="B20:C20"/>
    <mergeCell ref="F20:G20"/>
    <mergeCell ref="B1:N1"/>
    <mergeCell ref="J10:K10"/>
    <mergeCell ref="B12:C12"/>
    <mergeCell ref="F14:G14"/>
    <mergeCell ref="B16:C16"/>
    <mergeCell ref="B4:C4"/>
    <mergeCell ref="F6:G6"/>
    <mergeCell ref="B8:C8"/>
  </mergeCells>
  <phoneticPr fontId="16" type="noConversion"/>
  <pageMargins left="0.70866141732283472" right="0.70866141732283472" top="0.74803149606299213" bottom="0.74803149606299213" header="0.31496062992125984" footer="0.31496062992125984"/>
  <pageSetup paperSize="9" orientation="landscape" horizontalDpi="1200" verticalDpi="12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FFC000"/>
  </sheetPr>
  <dimension ref="A1:K27"/>
  <sheetViews>
    <sheetView zoomScaleNormal="100" workbookViewId="0">
      <selection activeCell="A3" sqref="A3"/>
    </sheetView>
  </sheetViews>
  <sheetFormatPr defaultRowHeight="15"/>
  <cols>
    <col min="2" max="2" width="23.7109375" customWidth="1"/>
    <col min="3" max="3" width="22.42578125" customWidth="1"/>
    <col min="4" max="4" width="36.7109375" customWidth="1"/>
  </cols>
  <sheetData>
    <row r="1" spans="1:11" ht="54" customHeight="1">
      <c r="A1" s="120" t="s">
        <v>18</v>
      </c>
      <c r="B1" s="120"/>
      <c r="C1" s="120"/>
      <c r="D1" s="120"/>
      <c r="E1" s="52"/>
      <c r="F1" s="52"/>
      <c r="G1" s="52"/>
      <c r="H1" s="52"/>
      <c r="I1" s="52"/>
      <c r="J1" s="52"/>
      <c r="K1" s="52"/>
    </row>
    <row r="2" spans="1:11" ht="102.75" customHeight="1">
      <c r="A2" s="121" t="s">
        <v>91</v>
      </c>
      <c r="B2" s="121"/>
      <c r="C2" s="121"/>
      <c r="D2" s="121"/>
      <c r="E2" s="53"/>
      <c r="F2" s="53"/>
      <c r="G2" s="54"/>
      <c r="H2" s="54"/>
      <c r="I2" s="54"/>
      <c r="J2" s="54"/>
    </row>
    <row r="3" spans="1:11" ht="15.75" thickBot="1"/>
    <row r="4" spans="1:11">
      <c r="A4" s="91" t="s">
        <v>19</v>
      </c>
      <c r="B4" s="92" t="s">
        <v>20</v>
      </c>
      <c r="C4" s="92" t="s">
        <v>21</v>
      </c>
      <c r="D4" s="96" t="s">
        <v>22</v>
      </c>
    </row>
    <row r="5" spans="1:11">
      <c r="A5" s="93">
        <v>1</v>
      </c>
      <c r="B5" s="60" t="s">
        <v>37</v>
      </c>
      <c r="C5" s="60" t="s">
        <v>23</v>
      </c>
      <c r="D5" s="97">
        <v>20</v>
      </c>
      <c r="F5" s="68"/>
      <c r="G5" s="68"/>
      <c r="H5" s="68"/>
      <c r="I5" s="68"/>
    </row>
    <row r="6" spans="1:11">
      <c r="A6" s="93">
        <v>2</v>
      </c>
      <c r="B6" s="87" t="s">
        <v>41</v>
      </c>
      <c r="C6" s="60" t="s">
        <v>40</v>
      </c>
      <c r="D6" s="97">
        <v>17</v>
      </c>
      <c r="F6" s="69"/>
      <c r="G6" s="68"/>
      <c r="H6" s="68"/>
      <c r="I6" s="68"/>
    </row>
    <row r="7" spans="1:11">
      <c r="A7" s="93">
        <v>3</v>
      </c>
      <c r="B7" s="60" t="s">
        <v>45</v>
      </c>
      <c r="C7" s="60" t="s">
        <v>40</v>
      </c>
      <c r="D7" s="97">
        <v>15</v>
      </c>
      <c r="F7" s="68"/>
      <c r="G7" s="68"/>
      <c r="H7" s="68"/>
      <c r="I7" s="68"/>
    </row>
    <row r="8" spans="1:11">
      <c r="A8" s="93">
        <v>4</v>
      </c>
      <c r="B8" s="60" t="s">
        <v>73</v>
      </c>
      <c r="C8" s="60" t="s">
        <v>40</v>
      </c>
      <c r="D8" s="97">
        <v>14</v>
      </c>
      <c r="F8" s="68"/>
      <c r="G8" s="68"/>
      <c r="H8" s="68"/>
      <c r="I8" s="68"/>
    </row>
    <row r="9" spans="1:11">
      <c r="A9" s="93">
        <v>5</v>
      </c>
      <c r="B9" s="87" t="s">
        <v>16</v>
      </c>
      <c r="C9" s="60" t="s">
        <v>25</v>
      </c>
      <c r="D9" s="97">
        <v>13</v>
      </c>
      <c r="F9" s="68"/>
      <c r="G9" s="68"/>
      <c r="H9" s="68"/>
      <c r="I9" s="68"/>
    </row>
    <row r="10" spans="1:11">
      <c r="A10" s="93">
        <v>6</v>
      </c>
      <c r="B10" s="60" t="s">
        <v>69</v>
      </c>
      <c r="C10" s="60" t="s">
        <v>40</v>
      </c>
      <c r="D10" s="97">
        <v>12</v>
      </c>
      <c r="F10" s="68"/>
      <c r="G10" s="68"/>
      <c r="H10" s="68"/>
      <c r="I10" s="68"/>
    </row>
    <row r="11" spans="1:11">
      <c r="A11" s="93">
        <v>7</v>
      </c>
      <c r="B11" s="60" t="s">
        <v>72</v>
      </c>
      <c r="C11" s="60" t="s">
        <v>40</v>
      </c>
      <c r="D11" s="97">
        <v>11</v>
      </c>
      <c r="F11" s="68"/>
      <c r="G11" s="68"/>
      <c r="H11" s="68"/>
      <c r="I11" s="68"/>
    </row>
    <row r="12" spans="1:11">
      <c r="A12" s="93">
        <v>8</v>
      </c>
      <c r="B12" s="60" t="s">
        <v>74</v>
      </c>
      <c r="C12" s="60" t="s">
        <v>40</v>
      </c>
      <c r="D12" s="97">
        <v>10</v>
      </c>
      <c r="F12" s="68"/>
      <c r="G12" s="68"/>
      <c r="H12" s="68"/>
      <c r="I12" s="68"/>
    </row>
    <row r="13" spans="1:11">
      <c r="A13" s="93">
        <v>9</v>
      </c>
      <c r="B13" s="60" t="s">
        <v>70</v>
      </c>
      <c r="C13" s="60" t="s">
        <v>40</v>
      </c>
      <c r="D13" s="97">
        <v>9</v>
      </c>
      <c r="F13" s="68"/>
      <c r="G13" s="68"/>
      <c r="H13" s="68"/>
      <c r="I13" s="68"/>
    </row>
    <row r="14" spans="1:11">
      <c r="A14" s="93">
        <v>10</v>
      </c>
      <c r="B14" s="60" t="s">
        <v>75</v>
      </c>
      <c r="C14" s="60" t="s">
        <v>40</v>
      </c>
      <c r="D14" s="97">
        <v>8</v>
      </c>
      <c r="F14" s="68"/>
      <c r="G14" s="68"/>
      <c r="H14" s="68"/>
      <c r="I14" s="68"/>
    </row>
    <row r="15" spans="1:11">
      <c r="A15" s="93">
        <v>11</v>
      </c>
      <c r="B15" s="60" t="s">
        <v>71</v>
      </c>
      <c r="C15" s="60" t="s">
        <v>40</v>
      </c>
      <c r="D15" s="97">
        <v>7</v>
      </c>
      <c r="F15" s="68"/>
      <c r="G15" s="68"/>
      <c r="H15" s="68"/>
      <c r="I15" s="68"/>
    </row>
    <row r="16" spans="1:11" ht="15.75" thickBot="1">
      <c r="A16" s="94">
        <v>12</v>
      </c>
      <c r="B16" s="64" t="s">
        <v>76</v>
      </c>
      <c r="C16" s="64" t="s">
        <v>40</v>
      </c>
      <c r="D16" s="98">
        <v>6</v>
      </c>
      <c r="F16" s="68"/>
      <c r="G16" s="68"/>
      <c r="H16" s="68"/>
      <c r="I16" s="68"/>
    </row>
    <row r="17" spans="1:9" ht="21">
      <c r="E17" s="95"/>
      <c r="F17" s="68"/>
      <c r="G17" s="68"/>
      <c r="H17" s="68"/>
      <c r="I17" s="68"/>
    </row>
    <row r="18" spans="1:9" ht="21">
      <c r="E18" s="95"/>
      <c r="F18" s="68"/>
      <c r="G18" s="68"/>
      <c r="H18" s="68"/>
      <c r="I18" s="68"/>
    </row>
    <row r="19" spans="1:9" ht="21">
      <c r="E19" s="95"/>
      <c r="F19" s="68"/>
      <c r="G19" s="68"/>
      <c r="H19" s="68"/>
      <c r="I19" s="68"/>
    </row>
    <row r="20" spans="1:9">
      <c r="F20" s="68"/>
      <c r="G20" s="68"/>
      <c r="H20" s="68"/>
      <c r="I20" s="68"/>
    </row>
    <row r="21" spans="1:9">
      <c r="F21" s="68"/>
      <c r="G21" s="68"/>
      <c r="H21" s="68"/>
      <c r="I21" s="68"/>
    </row>
    <row r="22" spans="1:9" ht="18" customHeight="1">
      <c r="A22" s="39"/>
      <c r="B22" s="95" t="s">
        <v>17</v>
      </c>
      <c r="C22" s="95"/>
      <c r="D22" s="95"/>
    </row>
    <row r="23" spans="1:9" ht="14.25" customHeight="1">
      <c r="A23" s="39"/>
      <c r="B23" s="95"/>
      <c r="C23" s="95"/>
      <c r="D23" s="95"/>
      <c r="F23" s="95"/>
      <c r="G23" s="95"/>
      <c r="H23" s="42"/>
    </row>
    <row r="24" spans="1:9" ht="15" customHeight="1">
      <c r="A24" s="39"/>
      <c r="B24" s="95"/>
      <c r="C24" s="95"/>
      <c r="D24" s="95"/>
      <c r="F24" s="95"/>
      <c r="G24" s="95"/>
      <c r="H24" s="42"/>
    </row>
    <row r="25" spans="1:9" ht="15" customHeight="1">
      <c r="A25" s="39"/>
      <c r="B25" s="95" t="s">
        <v>33</v>
      </c>
      <c r="C25" s="95"/>
      <c r="D25" s="95"/>
      <c r="F25" s="95"/>
      <c r="G25" s="95"/>
      <c r="H25" s="42"/>
    </row>
    <row r="26" spans="1:9" ht="21">
      <c r="F26" s="95"/>
      <c r="G26" s="95"/>
      <c r="H26" s="42"/>
    </row>
    <row r="27" spans="1:9" ht="21">
      <c r="F27" s="95"/>
      <c r="G27" s="42"/>
    </row>
  </sheetData>
  <mergeCells count="2">
    <mergeCell ref="A1:D1"/>
    <mergeCell ref="A2:D2"/>
  </mergeCells>
  <phoneticPr fontId="0" type="noConversion"/>
  <pageMargins left="0.75" right="0.49" top="0.7" bottom="1" header="0.5" footer="0.5"/>
  <pageSetup paperSize="9" orientation="portrait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49"/>
  <sheetViews>
    <sheetView workbookViewId="0">
      <selection activeCell="I49" sqref="A46:I49"/>
    </sheetView>
  </sheetViews>
  <sheetFormatPr defaultRowHeight="15"/>
  <cols>
    <col min="1" max="1" width="4" style="39" customWidth="1"/>
    <col min="2" max="12" width="10.28515625" customWidth="1"/>
    <col min="13" max="13" width="10.28515625" style="33" customWidth="1"/>
    <col min="14" max="15" width="10.28515625" customWidth="1"/>
  </cols>
  <sheetData>
    <row r="1" spans="2:14" ht="38.25" customHeight="1">
      <c r="B1" s="154" t="s">
        <v>32</v>
      </c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</row>
    <row r="2" spans="2:14" ht="15.75" thickBot="1">
      <c r="M2"/>
    </row>
    <row r="3" spans="2:14" ht="30" customHeight="1" thickBot="1">
      <c r="B3" s="23"/>
      <c r="C3" s="140" t="s">
        <v>0</v>
      </c>
      <c r="D3" s="116"/>
      <c r="E3" s="117"/>
      <c r="F3" s="1">
        <v>1</v>
      </c>
      <c r="G3" s="1">
        <v>2</v>
      </c>
      <c r="H3" s="1">
        <v>3</v>
      </c>
      <c r="I3" s="2">
        <v>4</v>
      </c>
      <c r="J3" s="2">
        <v>5</v>
      </c>
      <c r="K3" s="2">
        <v>6</v>
      </c>
      <c r="L3" s="3" t="s">
        <v>1</v>
      </c>
      <c r="M3" s="1" t="s">
        <v>3</v>
      </c>
      <c r="N3" s="4" t="s">
        <v>2</v>
      </c>
    </row>
    <row r="4" spans="2:14" ht="24" customHeight="1">
      <c r="B4" s="141">
        <v>1</v>
      </c>
      <c r="C4" s="142" t="s">
        <v>26</v>
      </c>
      <c r="D4" s="143"/>
      <c r="E4" s="144"/>
      <c r="F4" s="10" t="s">
        <v>7</v>
      </c>
      <c r="G4" s="6" t="str">
        <f ca="1">INDIRECT(ADDRESS(27,6))&amp;":"&amp;INDIRECT(ADDRESS(27,7))</f>
        <v>9:8</v>
      </c>
      <c r="H4" s="6" t="str">
        <f ca="1">INDIRECT(ADDRESS(31,7))&amp;":"&amp;INDIRECT(ADDRESS(31,6))</f>
        <v>13:2</v>
      </c>
      <c r="I4" s="6" t="str">
        <f ca="1">INDIRECT(ADDRESS(36,6))&amp;":"&amp;INDIRECT(ADDRESS(36,7))</f>
        <v>13:0</v>
      </c>
      <c r="J4" s="6" t="str">
        <f ca="1">INDIRECT(ADDRESS(42,7))&amp;":"&amp;INDIRECT(ADDRESS(42,6))</f>
        <v>10:5</v>
      </c>
      <c r="K4" s="21" t="str">
        <f ca="1">INDIRECT(ADDRESS(20,6))&amp;":"&amp;INDIRECT(ADDRESS(20,7))</f>
        <v>13:2</v>
      </c>
      <c r="L4" s="145">
        <f ca="1">IF(COUNT(F5:K5)=0,"",COUNTIF(F5:K5,"&gt;0")+0.5*COUNTIF(F5:K5,0))</f>
        <v>5</v>
      </c>
      <c r="M4" s="49"/>
      <c r="N4" s="146">
        <v>1</v>
      </c>
    </row>
    <row r="5" spans="2:14" ht="24" customHeight="1">
      <c r="B5" s="138"/>
      <c r="C5" s="129"/>
      <c r="D5" s="130"/>
      <c r="E5" s="131"/>
      <c r="F5" s="14" t="s">
        <v>7</v>
      </c>
      <c r="G5" s="17">
        <f ca="1">IF(LEN(INDIRECT(ADDRESS(ROW()-1, COLUMN())))=1,"",INDIRECT(ADDRESS(27,6))-INDIRECT(ADDRESS(27,7)))</f>
        <v>1</v>
      </c>
      <c r="H5" s="17">
        <f ca="1">IF(LEN(INDIRECT(ADDRESS(ROW()-1, COLUMN())))=1,"",INDIRECT(ADDRESS(31,7))-INDIRECT(ADDRESS(31,6)))</f>
        <v>11</v>
      </c>
      <c r="I5" s="17">
        <f ca="1">IF(LEN(INDIRECT(ADDRESS(ROW()-1, COLUMN())))=1,"",INDIRECT(ADDRESS(36,6))-INDIRECT(ADDRESS(36,7)))</f>
        <v>13</v>
      </c>
      <c r="J5" s="17">
        <f ca="1">IF(LEN(INDIRECT(ADDRESS(ROW()-1, COLUMN())))=1,"",INDIRECT(ADDRESS(42,7))-INDIRECT(ADDRESS(42,6)))</f>
        <v>5</v>
      </c>
      <c r="K5" s="18">
        <f ca="1">IF(LEN(INDIRECT(ADDRESS(ROW()-1, COLUMN())))=1,"",INDIRECT(ADDRESS(20,6))-INDIRECT(ADDRESS(20,7)))</f>
        <v>11</v>
      </c>
      <c r="L5" s="135"/>
      <c r="M5" s="48"/>
      <c r="N5" s="126"/>
    </row>
    <row r="6" spans="2:14" ht="24" customHeight="1">
      <c r="B6" s="127">
        <v>2</v>
      </c>
      <c r="C6" s="129" t="s">
        <v>27</v>
      </c>
      <c r="D6" s="130"/>
      <c r="E6" s="131"/>
      <c r="F6" s="12" t="str">
        <f ca="1">INDIRECT(ADDRESS(27,7))&amp;":"&amp;INDIRECT(ADDRESS(27,6))</f>
        <v>8:9</v>
      </c>
      <c r="G6" s="8" t="s">
        <v>7</v>
      </c>
      <c r="H6" s="7" t="str">
        <f ca="1">INDIRECT(ADDRESS(37,6))&amp;":"&amp;INDIRECT(ADDRESS(37,7))</f>
        <v>8:6</v>
      </c>
      <c r="I6" s="7" t="str">
        <f ca="1">INDIRECT(ADDRESS(41,7))&amp;":"&amp;INDIRECT(ADDRESS(41,6))</f>
        <v>13:7</v>
      </c>
      <c r="J6" s="7" t="str">
        <f ca="1">INDIRECT(ADDRESS(21,6))&amp;":"&amp;INDIRECT(ADDRESS(21,7))</f>
        <v>13:2</v>
      </c>
      <c r="K6" s="11" t="str">
        <f ca="1">INDIRECT(ADDRESS(30,6))&amp;":"&amp;INDIRECT(ADDRESS(30,7))</f>
        <v>7:10</v>
      </c>
      <c r="L6" s="135">
        <f ca="1">IF(COUNT(F7:K7)=0,"",COUNTIF(F7:K7,"&gt;0")+0.5*COUNTIF(F7:K7,0))</f>
        <v>3</v>
      </c>
      <c r="M6" s="48" t="s">
        <v>14</v>
      </c>
      <c r="N6" s="125">
        <v>3</v>
      </c>
    </row>
    <row r="7" spans="2:14" ht="24" customHeight="1">
      <c r="B7" s="138"/>
      <c r="C7" s="129"/>
      <c r="D7" s="130"/>
      <c r="E7" s="131"/>
      <c r="F7" s="22">
        <f ca="1">IF(LEN(INDIRECT(ADDRESS(ROW()-1, COLUMN())))=1,"",INDIRECT(ADDRESS(27,7))-INDIRECT(ADDRESS(27,6)))</f>
        <v>-1</v>
      </c>
      <c r="G7" s="15" t="s">
        <v>7</v>
      </c>
      <c r="H7" s="17">
        <f ca="1">IF(LEN(INDIRECT(ADDRESS(ROW()-1, COLUMN())))=1,"",INDIRECT(ADDRESS(37,6))-INDIRECT(ADDRESS(37,7)))</f>
        <v>2</v>
      </c>
      <c r="I7" s="17">
        <f ca="1">IF(LEN(INDIRECT(ADDRESS(ROW()-1, COLUMN())))=1,"",INDIRECT(ADDRESS(41,7))-INDIRECT(ADDRESS(41,6)))</f>
        <v>6</v>
      </c>
      <c r="J7" s="17">
        <f ca="1">IF(LEN(INDIRECT(ADDRESS(ROW()-1, COLUMN())))=1,"",INDIRECT(ADDRESS(21,6))-INDIRECT(ADDRESS(21,7)))</f>
        <v>11</v>
      </c>
      <c r="K7" s="18">
        <f ca="1">IF(LEN(INDIRECT(ADDRESS(ROW()-1, COLUMN())))=1,"",INDIRECT(ADDRESS(30,6))-INDIRECT(ADDRESS(30,7)))</f>
        <v>-3</v>
      </c>
      <c r="L7" s="135"/>
      <c r="M7" s="48" t="s">
        <v>34</v>
      </c>
      <c r="N7" s="126"/>
    </row>
    <row r="8" spans="2:14" ht="24" customHeight="1">
      <c r="B8" s="127">
        <v>3</v>
      </c>
      <c r="C8" s="129" t="s">
        <v>28</v>
      </c>
      <c r="D8" s="130"/>
      <c r="E8" s="131"/>
      <c r="F8" s="12" t="str">
        <f ca="1">INDIRECT(ADDRESS(31,6))&amp;":"&amp;INDIRECT(ADDRESS(31,7))</f>
        <v>2:13</v>
      </c>
      <c r="G8" s="7" t="str">
        <f ca="1">INDIRECT(ADDRESS(37,7))&amp;":"&amp;INDIRECT(ADDRESS(37,6))</f>
        <v>6:8</v>
      </c>
      <c r="H8" s="8" t="s">
        <v>7</v>
      </c>
      <c r="I8" s="7" t="str">
        <f ca="1">INDIRECT(ADDRESS(22,6))&amp;":"&amp;INDIRECT(ADDRESS(22,7))</f>
        <v>13:0</v>
      </c>
      <c r="J8" s="7" t="str">
        <f ca="1">INDIRECT(ADDRESS(26,7))&amp;":"&amp;INDIRECT(ADDRESS(26,6))</f>
        <v>13:1</v>
      </c>
      <c r="K8" s="11" t="str">
        <f ca="1">INDIRECT(ADDRESS(40,6))&amp;":"&amp;INDIRECT(ADDRESS(40,7))</f>
        <v>10:3</v>
      </c>
      <c r="L8" s="135">
        <f ca="1">IF(COUNT(F9:K9)=0,"",COUNTIF(F9:K9,"&gt;0")+0.5*COUNTIF(F9:K9,0))</f>
        <v>3</v>
      </c>
      <c r="M8" s="48" t="s">
        <v>14</v>
      </c>
      <c r="N8" s="125">
        <v>2</v>
      </c>
    </row>
    <row r="9" spans="2:14" ht="24" customHeight="1">
      <c r="B9" s="138"/>
      <c r="C9" s="129"/>
      <c r="D9" s="130"/>
      <c r="E9" s="131"/>
      <c r="F9" s="22">
        <f ca="1">IF(LEN(INDIRECT(ADDRESS(ROW()-1, COLUMN())))=1,"",INDIRECT(ADDRESS(31,6))-INDIRECT(ADDRESS(31,7)))</f>
        <v>-11</v>
      </c>
      <c r="G9" s="17">
        <f ca="1">IF(LEN(INDIRECT(ADDRESS(ROW()-1, COLUMN())))=1,"",INDIRECT(ADDRESS(37,7))-INDIRECT(ADDRESS(37,6)))</f>
        <v>-2</v>
      </c>
      <c r="H9" s="15" t="s">
        <v>7</v>
      </c>
      <c r="I9" s="17">
        <f ca="1">IF(LEN(INDIRECT(ADDRESS(ROW()-1, COLUMN())))=1,"",INDIRECT(ADDRESS(22,6))-INDIRECT(ADDRESS(22,7)))</f>
        <v>13</v>
      </c>
      <c r="J9" s="17">
        <f ca="1">IF(LEN(INDIRECT(ADDRESS(ROW()-1, COLUMN())))=1,"",INDIRECT(ADDRESS(26,7))-INDIRECT(ADDRESS(26,6)))</f>
        <v>12</v>
      </c>
      <c r="K9" s="18">
        <f ca="1">IF(LEN(INDIRECT(ADDRESS(ROW()-1, COLUMN())))=1,"",INDIRECT(ADDRESS(40,6))-INDIRECT(ADDRESS(40,7)))</f>
        <v>7</v>
      </c>
      <c r="L9" s="135"/>
      <c r="M9" s="48" t="s">
        <v>35</v>
      </c>
      <c r="N9" s="126"/>
    </row>
    <row r="10" spans="2:14" ht="24" customHeight="1">
      <c r="B10" s="127">
        <v>4</v>
      </c>
      <c r="C10" s="129" t="s">
        <v>29</v>
      </c>
      <c r="D10" s="130"/>
      <c r="E10" s="131"/>
      <c r="F10" s="12" t="str">
        <f ca="1">INDIRECT(ADDRESS(36,7))&amp;":"&amp;INDIRECT(ADDRESS(36,6))</f>
        <v>0:13</v>
      </c>
      <c r="G10" s="7" t="str">
        <f ca="1">INDIRECT(ADDRESS(41,6))&amp;":"&amp;INDIRECT(ADDRESS(41,7))</f>
        <v>7:13</v>
      </c>
      <c r="H10" s="7" t="str">
        <f ca="1">INDIRECT(ADDRESS(22,7))&amp;":"&amp;INDIRECT(ADDRESS(22,6))</f>
        <v>0:13</v>
      </c>
      <c r="I10" s="8" t="s">
        <v>7</v>
      </c>
      <c r="J10" s="7" t="str">
        <f ca="1">INDIRECT(ADDRESS(32,6))&amp;":"&amp;INDIRECT(ADDRESS(32,7))</f>
        <v>13:4</v>
      </c>
      <c r="K10" s="11" t="str">
        <f ca="1">INDIRECT(ADDRESS(25,7))&amp;":"&amp;INDIRECT(ADDRESS(25,6))</f>
        <v>7:13</v>
      </c>
      <c r="L10" s="135">
        <f ca="1">IF(COUNT(F11:K11)=0,"",COUNTIF(F11:K11,"&gt;0")+0.5*COUNTIF(F11:K11,0))</f>
        <v>1</v>
      </c>
      <c r="M10" s="48"/>
      <c r="N10" s="125">
        <v>5</v>
      </c>
    </row>
    <row r="11" spans="2:14" ht="24" customHeight="1">
      <c r="B11" s="138"/>
      <c r="C11" s="129"/>
      <c r="D11" s="130"/>
      <c r="E11" s="131"/>
      <c r="F11" s="22">
        <f ca="1">IF(LEN(INDIRECT(ADDRESS(ROW()-1, COLUMN())))=1,"",INDIRECT(ADDRESS(36,7))-INDIRECT(ADDRESS(36,6)))</f>
        <v>-13</v>
      </c>
      <c r="G11" s="17">
        <f ca="1">IF(LEN(INDIRECT(ADDRESS(ROW()-1, COLUMN())))=1,"",INDIRECT(ADDRESS(41,6))-INDIRECT(ADDRESS(41,7)))</f>
        <v>-6</v>
      </c>
      <c r="H11" s="17">
        <f ca="1">IF(LEN(INDIRECT(ADDRESS(ROW()-1, COLUMN())))=1,"",INDIRECT(ADDRESS(22,7))-INDIRECT(ADDRESS(22,6)))</f>
        <v>-13</v>
      </c>
      <c r="I11" s="15" t="s">
        <v>7</v>
      </c>
      <c r="J11" s="17">
        <f ca="1">IF(LEN(INDIRECT(ADDRESS(ROW()-1, COLUMN())))=1,"",INDIRECT(ADDRESS(32,6))-INDIRECT(ADDRESS(32,7)))</f>
        <v>9</v>
      </c>
      <c r="K11" s="18">
        <f ca="1">IF(LEN(INDIRECT(ADDRESS(ROW()-1, COLUMN())))=1,"",INDIRECT(ADDRESS(25,7))-INDIRECT(ADDRESS(25,6)))</f>
        <v>-6</v>
      </c>
      <c r="L11" s="135"/>
      <c r="M11" s="48"/>
      <c r="N11" s="126"/>
    </row>
    <row r="12" spans="2:14" ht="24" customHeight="1">
      <c r="B12" s="127">
        <v>5</v>
      </c>
      <c r="C12" s="129" t="s">
        <v>30</v>
      </c>
      <c r="D12" s="130"/>
      <c r="E12" s="131"/>
      <c r="F12" s="12" t="str">
        <f ca="1">INDIRECT(ADDRESS(42,6))&amp;":"&amp;INDIRECT(ADDRESS(42,7))</f>
        <v>5:10</v>
      </c>
      <c r="G12" s="7" t="str">
        <f ca="1">INDIRECT(ADDRESS(21,7))&amp;":"&amp;INDIRECT(ADDRESS(21,6))</f>
        <v>2:13</v>
      </c>
      <c r="H12" s="7" t="str">
        <f ca="1">INDIRECT(ADDRESS(26,6))&amp;":"&amp;INDIRECT(ADDRESS(26,7))</f>
        <v>1:13</v>
      </c>
      <c r="I12" s="7" t="str">
        <f ca="1">INDIRECT(ADDRESS(32,7))&amp;":"&amp;INDIRECT(ADDRESS(32,6))</f>
        <v>4:13</v>
      </c>
      <c r="J12" s="8" t="s">
        <v>7</v>
      </c>
      <c r="K12" s="11" t="str">
        <f ca="1">INDIRECT(ADDRESS(35,7))&amp;":"&amp;INDIRECT(ADDRESS(35,6))</f>
        <v>4:6</v>
      </c>
      <c r="L12" s="135">
        <f ca="1">IF(COUNT(F13:K13)=0,"",COUNTIF(F13:K13,"&gt;0")+0.5*COUNTIF(F13:K13,0))</f>
        <v>0</v>
      </c>
      <c r="M12" s="48"/>
      <c r="N12" s="125">
        <v>6</v>
      </c>
    </row>
    <row r="13" spans="2:14" ht="24" customHeight="1">
      <c r="B13" s="138"/>
      <c r="C13" s="129"/>
      <c r="D13" s="130"/>
      <c r="E13" s="131"/>
      <c r="F13" s="22">
        <f ca="1">IF(LEN(INDIRECT(ADDRESS(ROW()-1, COLUMN())))=1,"",INDIRECT(ADDRESS(42,6))-INDIRECT(ADDRESS(42,7)))</f>
        <v>-5</v>
      </c>
      <c r="G13" s="17">
        <f ca="1">IF(LEN(INDIRECT(ADDRESS(ROW()-1, COLUMN())))=1,"",INDIRECT(ADDRESS(21,7))-INDIRECT(ADDRESS(21,6)))</f>
        <v>-11</v>
      </c>
      <c r="H13" s="17">
        <f ca="1">IF(LEN(INDIRECT(ADDRESS(ROW()-1, COLUMN())))=1,"",INDIRECT(ADDRESS(26,6))-INDIRECT(ADDRESS(26,7)))</f>
        <v>-12</v>
      </c>
      <c r="I13" s="17">
        <f ca="1">IF(LEN(INDIRECT(ADDRESS(ROW()-1, COLUMN())))=1,"",INDIRECT(ADDRESS(32,7))-INDIRECT(ADDRESS(32,6)))</f>
        <v>-9</v>
      </c>
      <c r="J13" s="15" t="s">
        <v>7</v>
      </c>
      <c r="K13" s="18">
        <f ca="1">IF(LEN(INDIRECT(ADDRESS(ROW()-1, COLUMN())))=1,"",INDIRECT(ADDRESS(35,7))-INDIRECT(ADDRESS(35,6)))</f>
        <v>-2</v>
      </c>
      <c r="L13" s="135"/>
      <c r="M13" s="48"/>
      <c r="N13" s="126"/>
    </row>
    <row r="14" spans="2:14" ht="24" customHeight="1">
      <c r="B14" s="127">
        <v>6</v>
      </c>
      <c r="C14" s="129" t="s">
        <v>31</v>
      </c>
      <c r="D14" s="130"/>
      <c r="E14" s="131"/>
      <c r="F14" s="12" t="str">
        <f ca="1">INDIRECT(ADDRESS(20,7))&amp;":"&amp;INDIRECT(ADDRESS(20,6))</f>
        <v>2:13</v>
      </c>
      <c r="G14" s="7" t="str">
        <f ca="1">INDIRECT(ADDRESS(30,7))&amp;":"&amp;INDIRECT(ADDRESS(30,6))</f>
        <v>10:7</v>
      </c>
      <c r="H14" s="7" t="str">
        <f ca="1">INDIRECT(ADDRESS(40,7))&amp;":"&amp;INDIRECT(ADDRESS(40,6))</f>
        <v>3:10</v>
      </c>
      <c r="I14" s="7" t="str">
        <f ca="1">INDIRECT(ADDRESS(25,6))&amp;":"&amp;INDIRECT(ADDRESS(25,7))</f>
        <v>13:7</v>
      </c>
      <c r="J14" s="7" t="str">
        <f ca="1">INDIRECT(ADDRESS(35,6))&amp;":"&amp;INDIRECT(ADDRESS(35,7))</f>
        <v>6:4</v>
      </c>
      <c r="K14" s="13" t="s">
        <v>7</v>
      </c>
      <c r="L14" s="135">
        <f ca="1">IF(COUNT(F15:K15)=0,"",COUNTIF(F15:K15,"&gt;0")+0.5*COUNTIF(F15:K15,0))</f>
        <v>3</v>
      </c>
      <c r="M14" s="48" t="s">
        <v>14</v>
      </c>
      <c r="N14" s="125">
        <v>4</v>
      </c>
    </row>
    <row r="15" spans="2:14" ht="24" customHeight="1" thickBot="1">
      <c r="B15" s="128"/>
      <c r="C15" s="132"/>
      <c r="D15" s="133"/>
      <c r="E15" s="134"/>
      <c r="F15" s="20">
        <f ca="1">IF(LEN(INDIRECT(ADDRESS(ROW()-1, COLUMN())))=1,"",INDIRECT(ADDRESS(20,7))-INDIRECT(ADDRESS(20,6)))</f>
        <v>-11</v>
      </c>
      <c r="G15" s="19">
        <f ca="1">IF(LEN(INDIRECT(ADDRESS(ROW()-1, COLUMN())))=1,"",INDIRECT(ADDRESS(30,7))-INDIRECT(ADDRESS(30,6)))</f>
        <v>3</v>
      </c>
      <c r="H15" s="19">
        <f ca="1">IF(LEN(INDIRECT(ADDRESS(ROW()-1, COLUMN())))=1,"",INDIRECT(ADDRESS(40,7))-INDIRECT(ADDRESS(40,6)))</f>
        <v>-7</v>
      </c>
      <c r="I15" s="19">
        <f ca="1">IF(LEN(INDIRECT(ADDRESS(ROW()-1, COLUMN())))=1,"",INDIRECT(ADDRESS(25,6))-INDIRECT(ADDRESS(25,7)))</f>
        <v>6</v>
      </c>
      <c r="J15" s="19">
        <f ca="1">IF(LEN(INDIRECT(ADDRESS(ROW()-1, COLUMN())))=1,"",INDIRECT(ADDRESS(35,6))-INDIRECT(ADDRESS(35,7)))</f>
        <v>2</v>
      </c>
      <c r="K15" s="16" t="s">
        <v>7</v>
      </c>
      <c r="L15" s="136"/>
      <c r="M15" s="75" t="s">
        <v>36</v>
      </c>
      <c r="N15" s="137"/>
    </row>
    <row r="16" spans="2:14">
      <c r="M16"/>
    </row>
    <row r="17" spans="1:13">
      <c r="M17"/>
    </row>
    <row r="18" spans="1:13">
      <c r="M18"/>
    </row>
    <row r="19" spans="1:13" s="42" customFormat="1" ht="30" customHeight="1" thickBot="1">
      <c r="A19" s="41"/>
      <c r="B19" s="100" t="s">
        <v>4</v>
      </c>
      <c r="C19" s="100"/>
      <c r="D19" s="100"/>
      <c r="E19" s="100"/>
      <c r="F19" s="100"/>
      <c r="G19" s="100"/>
      <c r="H19" s="100"/>
      <c r="I19" s="100"/>
      <c r="J19" s="100"/>
      <c r="K19" s="100"/>
    </row>
    <row r="20" spans="1:13" s="42" customFormat="1" ht="30" customHeight="1" thickBot="1">
      <c r="A20" s="41"/>
      <c r="B20" s="46">
        <v>1</v>
      </c>
      <c r="C20" s="122" t="str">
        <f ca="1">IF(ISBLANK(INDIRECT(ADDRESS(B20*2+2,3))),"",INDIRECT(ADDRESS(B20*2+2,3)))</f>
        <v>Лукина, Лукин</v>
      </c>
      <c r="D20" s="122"/>
      <c r="E20" s="123"/>
      <c r="F20" s="43">
        <v>13</v>
      </c>
      <c r="G20" s="44">
        <v>2</v>
      </c>
      <c r="H20" s="124" t="str">
        <f ca="1">IF(ISBLANK(INDIRECT(ADDRESS(K20*2+2,3))),"",INDIRECT(ADDRESS(K20*2+2,3)))</f>
        <v>Меньшикова, Павлов</v>
      </c>
      <c r="I20" s="122"/>
      <c r="J20" s="122"/>
      <c r="K20" s="46">
        <v>6</v>
      </c>
      <c r="L20" s="45" t="s">
        <v>11</v>
      </c>
      <c r="M20" s="40"/>
    </row>
    <row r="21" spans="1:13" s="42" customFormat="1" ht="30" customHeight="1" thickBot="1">
      <c r="A21" s="41"/>
      <c r="B21" s="46">
        <v>2</v>
      </c>
      <c r="C21" s="152" t="str">
        <f ca="1">IF(ISBLANK(INDIRECT(ADDRESS(B21*2+2,3))),"",INDIRECT(ADDRESS(B21*2+2,3)))</f>
        <v>Потапова, Капран-Индаяти</v>
      </c>
      <c r="D21" s="152"/>
      <c r="E21" s="153"/>
      <c r="F21" s="43">
        <v>13</v>
      </c>
      <c r="G21" s="44">
        <v>2</v>
      </c>
      <c r="H21" s="124" t="str">
        <f ca="1">IF(ISBLANK(INDIRECT(ADDRESS(K21*2+2,3))),"",INDIRECT(ADDRESS(K21*2+2,3)))</f>
        <v>Кудряшова, Сендеров</v>
      </c>
      <c r="I21" s="122"/>
      <c r="J21" s="122"/>
      <c r="K21" s="46">
        <v>5</v>
      </c>
      <c r="L21" s="45" t="s">
        <v>11</v>
      </c>
      <c r="M21" s="40"/>
    </row>
    <row r="22" spans="1:13" s="42" customFormat="1" ht="30" customHeight="1" thickBot="1">
      <c r="A22" s="41"/>
      <c r="B22" s="46">
        <v>3</v>
      </c>
      <c r="C22" s="122" t="str">
        <f ca="1">IF(ISBLANK(INDIRECT(ADDRESS(B22*2+2,3))),"",INDIRECT(ADDRESS(B22*2+2,3)))</f>
        <v>Семченкова, Анухин</v>
      </c>
      <c r="D22" s="122"/>
      <c r="E22" s="123"/>
      <c r="F22" s="43">
        <v>13</v>
      </c>
      <c r="G22" s="44">
        <v>0</v>
      </c>
      <c r="H22" s="124" t="str">
        <f ca="1">IF(ISBLANK(INDIRECT(ADDRESS(K22*2+2,3))),"",INDIRECT(ADDRESS(K22*2+2,3)))</f>
        <v>Румянцева, Гутников</v>
      </c>
      <c r="I22" s="122"/>
      <c r="J22" s="122"/>
      <c r="K22" s="46">
        <v>4</v>
      </c>
      <c r="L22" s="45" t="s">
        <v>11</v>
      </c>
      <c r="M22" s="40"/>
    </row>
    <row r="23" spans="1:13" s="42" customFormat="1" ht="30" customHeight="1">
      <c r="A23" s="41"/>
      <c r="M23" s="47"/>
    </row>
    <row r="24" spans="1:13" s="42" customFormat="1" ht="30" customHeight="1" thickBot="1">
      <c r="A24" s="41"/>
      <c r="B24" s="100" t="s">
        <v>5</v>
      </c>
      <c r="C24" s="100"/>
      <c r="D24" s="100"/>
      <c r="E24" s="100"/>
      <c r="F24" s="100"/>
      <c r="G24" s="100"/>
      <c r="H24" s="100"/>
      <c r="I24" s="100"/>
      <c r="J24" s="100"/>
      <c r="K24" s="100"/>
      <c r="M24" s="47"/>
    </row>
    <row r="25" spans="1:13" s="42" customFormat="1" ht="30" customHeight="1" thickBot="1">
      <c r="A25" s="41"/>
      <c r="B25" s="46">
        <v>6</v>
      </c>
      <c r="C25" s="122" t="str">
        <f ca="1">IF(ISBLANK(INDIRECT(ADDRESS(B25*2+2,3))),"",INDIRECT(ADDRESS(B25*2+2,3)))</f>
        <v>Меньшикова, Павлов</v>
      </c>
      <c r="D25" s="122"/>
      <c r="E25" s="123"/>
      <c r="F25" s="43">
        <v>13</v>
      </c>
      <c r="G25" s="44">
        <v>7</v>
      </c>
      <c r="H25" s="124" t="str">
        <f ca="1">IF(ISBLANK(INDIRECT(ADDRESS(K25*2+2,3))),"",INDIRECT(ADDRESS(K25*2+2,3)))</f>
        <v>Румянцева, Гутников</v>
      </c>
      <c r="I25" s="122"/>
      <c r="J25" s="122"/>
      <c r="K25" s="46">
        <v>4</v>
      </c>
      <c r="L25" s="45" t="s">
        <v>11</v>
      </c>
      <c r="M25" s="40"/>
    </row>
    <row r="26" spans="1:13" s="42" customFormat="1" ht="30" customHeight="1" thickBot="1">
      <c r="A26" s="41"/>
      <c r="B26" s="46">
        <v>5</v>
      </c>
      <c r="C26" s="122" t="str">
        <f ca="1">IF(ISBLANK(INDIRECT(ADDRESS(B26*2+2,3))),"",INDIRECT(ADDRESS(B26*2+2,3)))</f>
        <v>Кудряшова, Сендеров</v>
      </c>
      <c r="D26" s="122"/>
      <c r="E26" s="123"/>
      <c r="F26" s="43">
        <v>1</v>
      </c>
      <c r="G26" s="44">
        <v>13</v>
      </c>
      <c r="H26" s="124" t="str">
        <f ca="1">IF(ISBLANK(INDIRECT(ADDRESS(K26*2+2,3))),"",INDIRECT(ADDRESS(K26*2+2,3)))</f>
        <v>Семченкова, Анухин</v>
      </c>
      <c r="I26" s="122"/>
      <c r="J26" s="122"/>
      <c r="K26" s="46">
        <v>3</v>
      </c>
      <c r="L26" s="45" t="s">
        <v>11</v>
      </c>
      <c r="M26" s="40"/>
    </row>
    <row r="27" spans="1:13" s="42" customFormat="1" ht="30" customHeight="1" thickBot="1">
      <c r="A27" s="41"/>
      <c r="B27" s="46">
        <v>1</v>
      </c>
      <c r="C27" s="122" t="str">
        <f ca="1">IF(ISBLANK(INDIRECT(ADDRESS(B27*2+2,3))),"",INDIRECT(ADDRESS(B27*2+2,3)))</f>
        <v>Лукина, Лукин</v>
      </c>
      <c r="D27" s="122"/>
      <c r="E27" s="123"/>
      <c r="F27" s="43">
        <v>9</v>
      </c>
      <c r="G27" s="44">
        <v>8</v>
      </c>
      <c r="H27" s="151" t="str">
        <f ca="1">IF(ISBLANK(INDIRECT(ADDRESS(K27*2+2,3))),"",INDIRECT(ADDRESS(K27*2+2,3)))</f>
        <v>Потапова, Капран-Индаяти</v>
      </c>
      <c r="I27" s="152"/>
      <c r="J27" s="152"/>
      <c r="K27" s="46">
        <v>2</v>
      </c>
      <c r="L27" s="45" t="s">
        <v>11</v>
      </c>
      <c r="M27" s="40"/>
    </row>
    <row r="28" spans="1:13" s="42" customFormat="1" ht="30" customHeight="1">
      <c r="A28" s="41"/>
      <c r="M28" s="47"/>
    </row>
    <row r="29" spans="1:13" s="42" customFormat="1" ht="30" customHeight="1" thickBot="1">
      <c r="A29" s="41"/>
      <c r="B29" s="100" t="s">
        <v>6</v>
      </c>
      <c r="C29" s="100"/>
      <c r="D29" s="100"/>
      <c r="E29" s="100"/>
      <c r="F29" s="100"/>
      <c r="G29" s="100"/>
      <c r="H29" s="100"/>
      <c r="I29" s="100"/>
      <c r="J29" s="100"/>
      <c r="K29" s="100"/>
      <c r="M29" s="47"/>
    </row>
    <row r="30" spans="1:13" s="42" customFormat="1" ht="30" customHeight="1" thickBot="1">
      <c r="A30" s="41"/>
      <c r="B30" s="46">
        <v>2</v>
      </c>
      <c r="C30" s="152" t="str">
        <f ca="1">IF(ISBLANK(INDIRECT(ADDRESS(B30*2+2,3))),"",INDIRECT(ADDRESS(B30*2+2,3)))</f>
        <v>Потапова, Капран-Индаяти</v>
      </c>
      <c r="D30" s="152"/>
      <c r="E30" s="153"/>
      <c r="F30" s="43">
        <v>7</v>
      </c>
      <c r="G30" s="44">
        <v>10</v>
      </c>
      <c r="H30" s="124" t="str">
        <f ca="1">IF(ISBLANK(INDIRECT(ADDRESS(K30*2+2,3))),"",INDIRECT(ADDRESS(K30*2+2,3)))</f>
        <v>Меньшикова, Павлов</v>
      </c>
      <c r="I30" s="122"/>
      <c r="J30" s="122"/>
      <c r="K30" s="46">
        <v>6</v>
      </c>
      <c r="L30" s="45" t="s">
        <v>11</v>
      </c>
      <c r="M30" s="40"/>
    </row>
    <row r="31" spans="1:13" s="42" customFormat="1" ht="30" customHeight="1" thickBot="1">
      <c r="A31" s="41"/>
      <c r="B31" s="46">
        <v>3</v>
      </c>
      <c r="C31" s="122" t="str">
        <f ca="1">IF(ISBLANK(INDIRECT(ADDRESS(B31*2+2,3))),"",INDIRECT(ADDRESS(B31*2+2,3)))</f>
        <v>Семченкова, Анухин</v>
      </c>
      <c r="D31" s="122"/>
      <c r="E31" s="123"/>
      <c r="F31" s="43">
        <v>2</v>
      </c>
      <c r="G31" s="44">
        <v>13</v>
      </c>
      <c r="H31" s="124" t="str">
        <f ca="1">IF(ISBLANK(INDIRECT(ADDRESS(K31*2+2,3))),"",INDIRECT(ADDRESS(K31*2+2,3)))</f>
        <v>Лукина, Лукин</v>
      </c>
      <c r="I31" s="122"/>
      <c r="J31" s="122"/>
      <c r="K31" s="46">
        <v>1</v>
      </c>
      <c r="L31" s="45" t="s">
        <v>11</v>
      </c>
      <c r="M31" s="40"/>
    </row>
    <row r="32" spans="1:13" s="42" customFormat="1" ht="30" customHeight="1" thickBot="1">
      <c r="A32" s="41"/>
      <c r="B32" s="46">
        <v>4</v>
      </c>
      <c r="C32" s="122" t="str">
        <f ca="1">IF(ISBLANK(INDIRECT(ADDRESS(B32*2+2,3))),"",INDIRECT(ADDRESS(B32*2+2,3)))</f>
        <v>Румянцева, Гутников</v>
      </c>
      <c r="D32" s="122"/>
      <c r="E32" s="123"/>
      <c r="F32" s="43">
        <v>13</v>
      </c>
      <c r="G32" s="44">
        <v>4</v>
      </c>
      <c r="H32" s="124" t="str">
        <f ca="1">IF(ISBLANK(INDIRECT(ADDRESS(K32*2+2,3))),"",INDIRECT(ADDRESS(K32*2+2,3)))</f>
        <v>Кудряшова, Сендеров</v>
      </c>
      <c r="I32" s="122"/>
      <c r="J32" s="122"/>
      <c r="K32" s="46">
        <v>5</v>
      </c>
      <c r="L32" s="45" t="s">
        <v>11</v>
      </c>
      <c r="M32" s="40"/>
    </row>
    <row r="33" spans="1:13" s="42" customFormat="1" ht="30" customHeight="1">
      <c r="A33" s="41"/>
      <c r="M33" s="47"/>
    </row>
    <row r="34" spans="1:13" s="42" customFormat="1" ht="30" customHeight="1" thickBot="1">
      <c r="A34" s="41"/>
      <c r="B34" s="100" t="s">
        <v>8</v>
      </c>
      <c r="C34" s="100"/>
      <c r="D34" s="100"/>
      <c r="E34" s="100"/>
      <c r="F34" s="100"/>
      <c r="G34" s="100"/>
      <c r="H34" s="100"/>
      <c r="I34" s="100"/>
      <c r="J34" s="100"/>
      <c r="K34" s="100"/>
      <c r="M34" s="47"/>
    </row>
    <row r="35" spans="1:13" s="42" customFormat="1" ht="30" customHeight="1" thickBot="1">
      <c r="A35" s="41"/>
      <c r="B35" s="46">
        <v>6</v>
      </c>
      <c r="C35" s="122" t="str">
        <f ca="1">IF(ISBLANK(INDIRECT(ADDRESS(B35*2+2,3))),"",INDIRECT(ADDRESS(B35*2+2,3)))</f>
        <v>Меньшикова, Павлов</v>
      </c>
      <c r="D35" s="122"/>
      <c r="E35" s="123"/>
      <c r="F35" s="43">
        <v>6</v>
      </c>
      <c r="G35" s="44">
        <v>4</v>
      </c>
      <c r="H35" s="124" t="str">
        <f ca="1">IF(ISBLANK(INDIRECT(ADDRESS(K35*2+2,3))),"",INDIRECT(ADDRESS(K35*2+2,3)))</f>
        <v>Кудряшова, Сендеров</v>
      </c>
      <c r="I35" s="122"/>
      <c r="J35" s="122"/>
      <c r="K35" s="46">
        <v>5</v>
      </c>
      <c r="L35" s="45" t="s">
        <v>11</v>
      </c>
      <c r="M35" s="40"/>
    </row>
    <row r="36" spans="1:13" s="42" customFormat="1" ht="30" customHeight="1" thickBot="1">
      <c r="A36" s="41"/>
      <c r="B36" s="46">
        <v>1</v>
      </c>
      <c r="C36" s="122" t="str">
        <f ca="1">IF(ISBLANK(INDIRECT(ADDRESS(B36*2+2,3))),"",INDIRECT(ADDRESS(B36*2+2,3)))</f>
        <v>Лукина, Лукин</v>
      </c>
      <c r="D36" s="122"/>
      <c r="E36" s="123"/>
      <c r="F36" s="43">
        <v>13</v>
      </c>
      <c r="G36" s="44">
        <v>0</v>
      </c>
      <c r="H36" s="124" t="str">
        <f ca="1">IF(ISBLANK(INDIRECT(ADDRESS(K36*2+2,3))),"",INDIRECT(ADDRESS(K36*2+2,3)))</f>
        <v>Румянцева, Гутников</v>
      </c>
      <c r="I36" s="122"/>
      <c r="J36" s="122"/>
      <c r="K36" s="46">
        <v>4</v>
      </c>
      <c r="L36" s="45" t="s">
        <v>11</v>
      </c>
      <c r="M36" s="40"/>
    </row>
    <row r="37" spans="1:13" s="42" customFormat="1" ht="30" customHeight="1" thickBot="1">
      <c r="A37" s="41"/>
      <c r="B37" s="46">
        <v>2</v>
      </c>
      <c r="C37" s="152" t="str">
        <f ca="1">IF(ISBLANK(INDIRECT(ADDRESS(B37*2+2,3))),"",INDIRECT(ADDRESS(B37*2+2,3)))</f>
        <v>Потапова, Капран-Индаяти</v>
      </c>
      <c r="D37" s="152"/>
      <c r="E37" s="153"/>
      <c r="F37" s="43">
        <v>8</v>
      </c>
      <c r="G37" s="44">
        <v>6</v>
      </c>
      <c r="H37" s="124" t="str">
        <f ca="1">IF(ISBLANK(INDIRECT(ADDRESS(K37*2+2,3))),"",INDIRECT(ADDRESS(K37*2+2,3)))</f>
        <v>Семченкова, Анухин</v>
      </c>
      <c r="I37" s="122"/>
      <c r="J37" s="122"/>
      <c r="K37" s="46">
        <v>3</v>
      </c>
      <c r="L37" s="45" t="s">
        <v>11</v>
      </c>
      <c r="M37" s="40"/>
    </row>
    <row r="38" spans="1:13" s="42" customFormat="1" ht="30" customHeight="1">
      <c r="A38" s="41"/>
      <c r="M38" s="47"/>
    </row>
    <row r="39" spans="1:13" s="42" customFormat="1" ht="30" customHeight="1" thickBot="1">
      <c r="A39" s="41"/>
      <c r="B39" s="100" t="s">
        <v>9</v>
      </c>
      <c r="C39" s="100"/>
      <c r="D39" s="100"/>
      <c r="E39" s="100"/>
      <c r="F39" s="100"/>
      <c r="G39" s="100"/>
      <c r="H39" s="100"/>
      <c r="I39" s="100"/>
      <c r="J39" s="100"/>
      <c r="K39" s="100"/>
      <c r="M39" s="47"/>
    </row>
    <row r="40" spans="1:13" s="42" customFormat="1" ht="30" customHeight="1" thickBot="1">
      <c r="A40" s="41"/>
      <c r="B40" s="46">
        <v>3</v>
      </c>
      <c r="C40" s="122" t="str">
        <f ca="1">IF(ISBLANK(INDIRECT(ADDRESS(B40*2+2,3))),"",INDIRECT(ADDRESS(B40*2+2,3)))</f>
        <v>Семченкова, Анухин</v>
      </c>
      <c r="D40" s="122"/>
      <c r="E40" s="123"/>
      <c r="F40" s="43">
        <v>10</v>
      </c>
      <c r="G40" s="44">
        <v>3</v>
      </c>
      <c r="H40" s="124" t="str">
        <f ca="1">IF(ISBLANK(INDIRECT(ADDRESS(K40*2+2,3))),"",INDIRECT(ADDRESS(K40*2+2,3)))</f>
        <v>Меньшикова, Павлов</v>
      </c>
      <c r="I40" s="122"/>
      <c r="J40" s="122"/>
      <c r="K40" s="46">
        <v>6</v>
      </c>
      <c r="L40" s="45" t="s">
        <v>11</v>
      </c>
      <c r="M40" s="40"/>
    </row>
    <row r="41" spans="1:13" s="42" customFormat="1" ht="30" customHeight="1" thickBot="1">
      <c r="A41" s="41"/>
      <c r="B41" s="46">
        <v>4</v>
      </c>
      <c r="C41" s="122" t="str">
        <f ca="1">IF(ISBLANK(INDIRECT(ADDRESS(B41*2+2,3))),"",INDIRECT(ADDRESS(B41*2+2,3)))</f>
        <v>Румянцева, Гутников</v>
      </c>
      <c r="D41" s="122"/>
      <c r="E41" s="123"/>
      <c r="F41" s="43">
        <v>7</v>
      </c>
      <c r="G41" s="44">
        <v>13</v>
      </c>
      <c r="H41" s="151" t="str">
        <f ca="1">IF(ISBLANK(INDIRECT(ADDRESS(K41*2+2,3))),"",INDIRECT(ADDRESS(K41*2+2,3)))</f>
        <v>Потапова, Капран-Индаяти</v>
      </c>
      <c r="I41" s="152"/>
      <c r="J41" s="152"/>
      <c r="K41" s="46">
        <v>2</v>
      </c>
      <c r="L41" s="45" t="s">
        <v>11</v>
      </c>
      <c r="M41" s="40"/>
    </row>
    <row r="42" spans="1:13" s="42" customFormat="1" ht="30" customHeight="1" thickBot="1">
      <c r="A42" s="41"/>
      <c r="B42" s="46">
        <v>5</v>
      </c>
      <c r="C42" s="122" t="str">
        <f ca="1">IF(ISBLANK(INDIRECT(ADDRESS(B42*2+2,3))),"",INDIRECT(ADDRESS(B42*2+2,3)))</f>
        <v>Кудряшова, Сендеров</v>
      </c>
      <c r="D42" s="122"/>
      <c r="E42" s="123"/>
      <c r="F42" s="43">
        <v>5</v>
      </c>
      <c r="G42" s="44">
        <v>10</v>
      </c>
      <c r="H42" s="124" t="str">
        <f ca="1">IF(ISBLANK(INDIRECT(ADDRESS(K42*2+2,3))),"",INDIRECT(ADDRESS(K42*2+2,3)))</f>
        <v>Лукина, Лукин</v>
      </c>
      <c r="I42" s="122"/>
      <c r="J42" s="122"/>
      <c r="K42" s="46">
        <v>1</v>
      </c>
      <c r="L42" s="45" t="s">
        <v>11</v>
      </c>
      <c r="M42" s="40"/>
    </row>
    <row r="46" spans="1:13" ht="21">
      <c r="B46" s="50" t="s">
        <v>17</v>
      </c>
      <c r="C46" s="50"/>
      <c r="D46" s="50"/>
      <c r="E46" s="50"/>
      <c r="F46" s="50"/>
      <c r="G46" s="50"/>
      <c r="H46" s="51"/>
    </row>
    <row r="47" spans="1:13" ht="21">
      <c r="B47" s="50"/>
      <c r="C47" s="50"/>
      <c r="D47" s="50"/>
      <c r="E47" s="50"/>
      <c r="F47" s="50"/>
      <c r="G47" s="50"/>
      <c r="H47" s="51"/>
    </row>
    <row r="48" spans="1:13" ht="21">
      <c r="B48" s="50"/>
      <c r="C48" s="50"/>
      <c r="D48" s="50"/>
      <c r="E48" s="50"/>
      <c r="F48" s="50"/>
      <c r="G48" s="50"/>
      <c r="H48" s="51"/>
    </row>
    <row r="49" spans="2:8" ht="21">
      <c r="B49" s="50" t="s">
        <v>33</v>
      </c>
      <c r="C49" s="50"/>
      <c r="D49" s="50"/>
      <c r="E49" s="50"/>
      <c r="F49" s="50"/>
      <c r="G49" s="50"/>
      <c r="H49" s="51"/>
    </row>
  </sheetData>
  <sheetCalcPr fullCalcOnLoad="1"/>
  <mergeCells count="61">
    <mergeCell ref="B6:B7"/>
    <mergeCell ref="C6:E7"/>
    <mergeCell ref="L6:L7"/>
    <mergeCell ref="B1:N1"/>
    <mergeCell ref="N6:N7"/>
    <mergeCell ref="C3:E3"/>
    <mergeCell ref="B4:B5"/>
    <mergeCell ref="C4:E5"/>
    <mergeCell ref="L4:L5"/>
    <mergeCell ref="N4:N5"/>
    <mergeCell ref="N10:N11"/>
    <mergeCell ref="B8:B9"/>
    <mergeCell ref="C8:E9"/>
    <mergeCell ref="L8:L9"/>
    <mergeCell ref="N8:N9"/>
    <mergeCell ref="B10:B11"/>
    <mergeCell ref="C10:E11"/>
    <mergeCell ref="L10:L11"/>
    <mergeCell ref="N12:N13"/>
    <mergeCell ref="B14:B15"/>
    <mergeCell ref="C14:E15"/>
    <mergeCell ref="L14:L15"/>
    <mergeCell ref="N14:N15"/>
    <mergeCell ref="L12:L13"/>
    <mergeCell ref="B12:B13"/>
    <mergeCell ref="C12:E13"/>
    <mergeCell ref="C21:E21"/>
    <mergeCell ref="H21:J21"/>
    <mergeCell ref="C30:E30"/>
    <mergeCell ref="H30:J30"/>
    <mergeCell ref="C26:E26"/>
    <mergeCell ref="H26:J26"/>
    <mergeCell ref="B19:K19"/>
    <mergeCell ref="C20:E20"/>
    <mergeCell ref="H20:J20"/>
    <mergeCell ref="C31:E31"/>
    <mergeCell ref="H31:J31"/>
    <mergeCell ref="B29:K29"/>
    <mergeCell ref="C22:E22"/>
    <mergeCell ref="H22:J22"/>
    <mergeCell ref="B24:K24"/>
    <mergeCell ref="C25:E25"/>
    <mergeCell ref="H25:J25"/>
    <mergeCell ref="C27:E27"/>
    <mergeCell ref="H27:J27"/>
    <mergeCell ref="C42:E42"/>
    <mergeCell ref="H42:J42"/>
    <mergeCell ref="B34:K34"/>
    <mergeCell ref="C35:E35"/>
    <mergeCell ref="H35:J35"/>
    <mergeCell ref="C36:E36"/>
    <mergeCell ref="C32:E32"/>
    <mergeCell ref="H32:J32"/>
    <mergeCell ref="C41:E41"/>
    <mergeCell ref="H41:J41"/>
    <mergeCell ref="H36:J36"/>
    <mergeCell ref="C37:E37"/>
    <mergeCell ref="H37:J37"/>
    <mergeCell ref="B39:K39"/>
    <mergeCell ref="C40:E40"/>
    <mergeCell ref="H40:J40"/>
  </mergeCells>
  <phoneticPr fontId="16" type="noConversion"/>
  <printOptions horizontalCentered="1"/>
  <pageMargins left="0.25" right="0.25" top="0.75" bottom="0.75" header="0.3" footer="0.3"/>
  <pageSetup paperSize="9" scale="6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11</vt:i4>
      </vt:variant>
    </vt:vector>
  </HeadingPairs>
  <TitlesOfParts>
    <vt:vector size="11" baseType="lpstr">
      <vt:lpstr>Кубок ВФБ мужчины</vt:lpstr>
      <vt:lpstr>Итоги Кубок ВФБ муж</vt:lpstr>
      <vt:lpstr>Кубок ВФБ группа А жен</vt:lpstr>
      <vt:lpstr>Кубок ВФБ группа В жен</vt:lpstr>
      <vt:lpstr>Кубок ВФБ кубок А жен</vt:lpstr>
      <vt:lpstr>Кубок ВФБ кубок В жен</vt:lpstr>
      <vt:lpstr>Кубок ВФБ кубок С жен</vt:lpstr>
      <vt:lpstr>Итоги Кубок ВФБ жен</vt:lpstr>
      <vt:lpstr>Петанк-двойка-смешанная</vt:lpstr>
      <vt:lpstr>Итоги Чемпионат ВФБ двойка-смеш</vt:lpstr>
      <vt:lpstr>Служебный лист</vt:lpstr>
    </vt:vector>
  </TitlesOfParts>
  <Company>Домашний компьютер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Валерий Крапиль</dc:creator>
  <cp:lastModifiedBy>EMPEROR</cp:lastModifiedBy>
  <cp:lastPrinted>2021-05-28T12:55:53Z</cp:lastPrinted>
  <dcterms:created xsi:type="dcterms:W3CDTF">2009-05-19T09:37:33Z</dcterms:created>
  <dcterms:modified xsi:type="dcterms:W3CDTF">2025-06-24T10:07:05Z</dcterms:modified>
</cp:coreProperties>
</file>