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0730" windowHeight="11700" activeTab="6"/>
  </bookViews>
  <sheets>
    <sheet name="X" sheetId="7" r:id="rId1"/>
    <sheet name="C" sheetId="3" r:id="rId2"/>
    <sheet name="D" sheetId="12" r:id="rId3"/>
    <sheet name="A" sheetId="4" r:id="rId4"/>
    <sheet name="B" sheetId="5" r:id="rId5"/>
    <sheet name="KA" sheetId="8" r:id="rId6"/>
    <sheet name="KB" sheetId="9" r:id="rId7"/>
  </sheets>
  <calcPr calcId="145621"/>
</workbook>
</file>

<file path=xl/calcChain.xml><?xml version="1.0" encoding="utf-8"?>
<calcChain xmlns="http://schemas.openxmlformats.org/spreadsheetml/2006/main">
  <c r="C22" i="7" l="1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" i="7"/>
  <c r="I4" i="12"/>
  <c r="G12" i="12"/>
  <c r="H6" i="12"/>
  <c r="H12" i="12"/>
  <c r="I6" i="12"/>
  <c r="F10" i="12"/>
  <c r="G4" i="12"/>
  <c r="J4" i="12"/>
  <c r="C10" i="12"/>
  <c r="H19" i="12" s="1"/>
  <c r="C34" i="12"/>
  <c r="I8" i="12"/>
  <c r="G10" i="12"/>
  <c r="F6" i="12"/>
  <c r="C8" i="12"/>
  <c r="H31" i="12" s="1"/>
  <c r="C26" i="12"/>
  <c r="F8" i="12"/>
  <c r="C27" i="12"/>
  <c r="B16" i="9"/>
  <c r="G8" i="12"/>
  <c r="C4" i="12"/>
  <c r="C6" i="12"/>
  <c r="H34" i="12"/>
  <c r="H4" i="12"/>
  <c r="J8" i="12"/>
  <c r="C19" i="12"/>
  <c r="B24" i="9"/>
  <c r="F12" i="12"/>
  <c r="H10" i="12"/>
  <c r="J6" i="12"/>
  <c r="I12" i="12"/>
  <c r="C12" i="12"/>
  <c r="C23" i="12"/>
  <c r="J10" i="12"/>
  <c r="B24" i="8"/>
  <c r="H26" i="12"/>
  <c r="C30" i="12"/>
  <c r="H23" i="12"/>
  <c r="C22" i="12"/>
  <c r="H27" i="12"/>
  <c r="C35" i="12"/>
  <c r="F14" i="9" l="1"/>
  <c r="F22" i="9"/>
  <c r="C18" i="12"/>
  <c r="I9" i="12"/>
  <c r="F8" i="4"/>
  <c r="I4" i="4"/>
  <c r="I13" i="12"/>
  <c r="I14" i="5"/>
  <c r="G8" i="5"/>
  <c r="J8" i="4"/>
  <c r="F12" i="5"/>
  <c r="G4" i="3"/>
  <c r="F10" i="4"/>
  <c r="H6" i="3"/>
  <c r="J6" i="4"/>
  <c r="K12" i="5"/>
  <c r="C4" i="5"/>
  <c r="F13" i="12"/>
  <c r="I6" i="3"/>
  <c r="I12" i="3"/>
  <c r="J4" i="3"/>
  <c r="G12" i="5"/>
  <c r="H10" i="4"/>
  <c r="G10" i="3"/>
  <c r="C36" i="5"/>
  <c r="H30" i="12"/>
  <c r="I8" i="4"/>
  <c r="G10" i="4"/>
  <c r="F10" i="5"/>
  <c r="I12" i="4"/>
  <c r="I6" i="4"/>
  <c r="F6" i="4"/>
  <c r="G4" i="4"/>
  <c r="K4" i="5"/>
  <c r="I12" i="5"/>
  <c r="J10" i="3"/>
  <c r="C14" i="5"/>
  <c r="K12" i="4"/>
  <c r="J8" i="5"/>
  <c r="J8" i="3"/>
  <c r="C12" i="4"/>
  <c r="C6" i="4"/>
  <c r="H40" i="5"/>
  <c r="F6" i="3"/>
  <c r="I8" i="3"/>
  <c r="H10" i="5"/>
  <c r="H11" i="5" s="1"/>
  <c r="H14" i="5"/>
  <c r="K13" i="5"/>
  <c r="C4" i="4"/>
  <c r="C36" i="4"/>
  <c r="C4" i="3"/>
  <c r="H35" i="3" s="1"/>
  <c r="J4" i="5"/>
  <c r="I7" i="12"/>
  <c r="F12" i="3"/>
  <c r="J7" i="4"/>
  <c r="I5" i="12"/>
  <c r="G11" i="12"/>
  <c r="J10" i="5"/>
  <c r="H41" i="4"/>
  <c r="I14" i="4"/>
  <c r="J5" i="5"/>
  <c r="J5" i="12"/>
  <c r="C31" i="12"/>
  <c r="G9" i="12"/>
  <c r="C8" i="5"/>
  <c r="C22" i="5" s="1"/>
  <c r="H14" i="4"/>
  <c r="H26" i="5"/>
  <c r="F10" i="3"/>
  <c r="G5" i="12"/>
  <c r="J9" i="4"/>
  <c r="H27" i="4"/>
  <c r="C23" i="3"/>
  <c r="C40" i="5"/>
  <c r="G13" i="12"/>
  <c r="K10" i="5"/>
  <c r="J4" i="4"/>
  <c r="H5" i="12"/>
  <c r="H4" i="4"/>
  <c r="F12" i="4"/>
  <c r="C14" i="4"/>
  <c r="H40" i="4" s="1"/>
  <c r="H21" i="4"/>
  <c r="H20" i="4"/>
  <c r="B16" i="8"/>
  <c r="I6" i="5"/>
  <c r="I7" i="5" s="1"/>
  <c r="H6" i="5"/>
  <c r="F9" i="12"/>
  <c r="H6" i="4"/>
  <c r="H7" i="4" s="1"/>
  <c r="K8" i="5"/>
  <c r="G4" i="5"/>
  <c r="K4" i="4"/>
  <c r="G12" i="3"/>
  <c r="H30" i="4"/>
  <c r="B32" i="9"/>
  <c r="H11" i="12"/>
  <c r="C6" i="3"/>
  <c r="K6" i="5"/>
  <c r="K10" i="4"/>
  <c r="K11" i="4" s="1"/>
  <c r="J10" i="4"/>
  <c r="H30" i="5"/>
  <c r="C10" i="5"/>
  <c r="H5" i="4"/>
  <c r="H42" i="5"/>
  <c r="H32" i="4"/>
  <c r="C20" i="4"/>
  <c r="H12" i="4"/>
  <c r="H13" i="4"/>
  <c r="H10" i="3"/>
  <c r="C6" i="5"/>
  <c r="G12" i="4"/>
  <c r="H41" i="5"/>
  <c r="H22" i="12"/>
  <c r="F8" i="3"/>
  <c r="G8" i="4"/>
  <c r="H37" i="5"/>
  <c r="G10" i="5"/>
  <c r="H31" i="4"/>
  <c r="H26" i="3"/>
  <c r="H23" i="3"/>
  <c r="C21" i="5"/>
  <c r="J9" i="12"/>
  <c r="G14" i="5"/>
  <c r="H12" i="5"/>
  <c r="H18" i="12"/>
  <c r="J6" i="5"/>
  <c r="J7" i="5" s="1"/>
  <c r="I8" i="5"/>
  <c r="I9" i="5" s="1"/>
  <c r="F8" i="5"/>
  <c r="F6" i="5"/>
  <c r="G8" i="3"/>
  <c r="C21" i="4"/>
  <c r="C10" i="3"/>
  <c r="I4" i="5"/>
  <c r="F11" i="12"/>
  <c r="H12" i="3"/>
  <c r="H13" i="12"/>
  <c r="H4" i="3"/>
  <c r="K13" i="4"/>
  <c r="C10" i="4"/>
  <c r="H35" i="12"/>
  <c r="H36" i="4"/>
  <c r="C35" i="4"/>
  <c r="J14" i="4"/>
  <c r="J15" i="4" s="1"/>
  <c r="C12" i="5"/>
  <c r="J14" i="5"/>
  <c r="J15" i="5" s="1"/>
  <c r="J11" i="12"/>
  <c r="K8" i="4"/>
  <c r="J9" i="3"/>
  <c r="C12" i="3"/>
  <c r="K6" i="4"/>
  <c r="F14" i="5"/>
  <c r="G14" i="4"/>
  <c r="C41" i="4"/>
  <c r="C25" i="4"/>
  <c r="C27" i="5"/>
  <c r="C8" i="4"/>
  <c r="H4" i="5"/>
  <c r="C8" i="3"/>
  <c r="J7" i="12"/>
  <c r="F7" i="12"/>
  <c r="H13" i="3"/>
  <c r="H7" i="12"/>
  <c r="I13" i="5"/>
  <c r="J6" i="3"/>
  <c r="I4" i="3"/>
  <c r="H36" i="5"/>
  <c r="F14" i="4"/>
  <c r="H42" i="4"/>
  <c r="C30" i="3"/>
  <c r="H34" i="3"/>
  <c r="H27" i="3"/>
  <c r="C31" i="4"/>
  <c r="C19" i="3"/>
  <c r="C31" i="5"/>
  <c r="H22" i="3"/>
  <c r="C25" i="5"/>
  <c r="C35" i="5"/>
  <c r="H35" i="4"/>
  <c r="C42" i="4"/>
  <c r="C37" i="4"/>
  <c r="C30" i="4"/>
  <c r="C31" i="3"/>
  <c r="C18" i="3"/>
  <c r="H22" i="5"/>
  <c r="H25" i="5"/>
  <c r="C41" i="5"/>
  <c r="C30" i="5"/>
  <c r="C37" i="5"/>
  <c r="H30" i="3"/>
  <c r="H19" i="3"/>
  <c r="C34" i="3"/>
  <c r="C27" i="3"/>
  <c r="H25" i="4"/>
  <c r="H22" i="4"/>
  <c r="H21" i="5"/>
  <c r="C42" i="5"/>
  <c r="H35" i="5"/>
  <c r="C26" i="5"/>
  <c r="H32" i="5"/>
  <c r="C22" i="3"/>
  <c r="H18" i="3"/>
  <c r="C22" i="4"/>
  <c r="C40" i="4"/>
  <c r="H26" i="4"/>
  <c r="H37" i="4"/>
  <c r="F14" i="8" l="1"/>
  <c r="F30" i="9"/>
  <c r="J26" i="9" s="1"/>
  <c r="K6" i="12"/>
  <c r="L7" i="12"/>
  <c r="L5" i="12"/>
  <c r="K4" i="12"/>
  <c r="K8" i="12"/>
  <c r="L9" i="12"/>
  <c r="K12" i="12"/>
  <c r="L13" i="12"/>
  <c r="K10" i="12"/>
  <c r="L11" i="12"/>
  <c r="J7" i="3"/>
  <c r="F11" i="3"/>
  <c r="I9" i="4"/>
  <c r="H31" i="5"/>
  <c r="J5" i="3"/>
  <c r="H7" i="5"/>
  <c r="J11" i="3"/>
  <c r="H31" i="3"/>
  <c r="K7" i="5"/>
  <c r="I5" i="3"/>
  <c r="B4" i="9"/>
  <c r="K5" i="4"/>
  <c r="H15" i="5"/>
  <c r="J9" i="5"/>
  <c r="F9" i="5"/>
  <c r="G13" i="4"/>
  <c r="B20" i="8"/>
  <c r="F11" i="4"/>
  <c r="H5" i="5"/>
  <c r="C26" i="4"/>
  <c r="G5" i="5"/>
  <c r="H20" i="5"/>
  <c r="I15" i="5"/>
  <c r="H11" i="4"/>
  <c r="G5" i="3"/>
  <c r="H5" i="3"/>
  <c r="I13" i="4"/>
  <c r="G9" i="3"/>
  <c r="F13" i="3"/>
  <c r="G15" i="4"/>
  <c r="K9" i="4"/>
  <c r="I15" i="4"/>
  <c r="G11" i="3"/>
  <c r="G11" i="5"/>
  <c r="B12" i="9"/>
  <c r="F7" i="3"/>
  <c r="I9" i="3"/>
  <c r="C26" i="3"/>
  <c r="B28" i="8"/>
  <c r="B8" i="9"/>
  <c r="C27" i="4"/>
  <c r="F7" i="5"/>
  <c r="K11" i="5"/>
  <c r="B12" i="8"/>
  <c r="K7" i="4"/>
  <c r="H11" i="3"/>
  <c r="J5" i="4"/>
  <c r="B20" i="9"/>
  <c r="C35" i="3"/>
  <c r="F9" i="3"/>
  <c r="G5" i="4"/>
  <c r="C32" i="4"/>
  <c r="K5" i="5"/>
  <c r="G13" i="5"/>
  <c r="I7" i="4"/>
  <c r="F13" i="5"/>
  <c r="H13" i="5"/>
  <c r="F11" i="5"/>
  <c r="G15" i="5"/>
  <c r="B28" i="9"/>
  <c r="F15" i="5"/>
  <c r="G13" i="3"/>
  <c r="I5" i="5"/>
  <c r="F7" i="4"/>
  <c r="I7" i="3"/>
  <c r="C32" i="5"/>
  <c r="J11" i="5"/>
  <c r="G9" i="5"/>
  <c r="G9" i="4"/>
  <c r="B8" i="8"/>
  <c r="H15" i="4"/>
  <c r="B32" i="8"/>
  <c r="F9" i="4"/>
  <c r="G11" i="4"/>
  <c r="F15" i="4"/>
  <c r="J11" i="4"/>
  <c r="H27" i="5"/>
  <c r="B4" i="8"/>
  <c r="H7" i="3"/>
  <c r="I5" i="4"/>
  <c r="F13" i="4"/>
  <c r="C20" i="5"/>
  <c r="K9" i="5"/>
  <c r="I13" i="3"/>
  <c r="F22" i="8" l="1"/>
  <c r="F6" i="8"/>
  <c r="B36" i="8" s="1"/>
  <c r="F6" i="9"/>
  <c r="J10" i="9" s="1"/>
  <c r="N18" i="9" s="1"/>
  <c r="F30" i="8"/>
  <c r="B40" i="8" s="1"/>
  <c r="F38" i="8" s="1"/>
  <c r="M7" i="4"/>
  <c r="L6" i="4"/>
  <c r="J26" i="8"/>
  <c r="N18" i="8" s="1"/>
  <c r="L12" i="4"/>
  <c r="M13" i="4"/>
  <c r="L4" i="4"/>
  <c r="M5" i="4"/>
  <c r="M7" i="5"/>
  <c r="L6" i="5"/>
  <c r="K10" i="3"/>
  <c r="L11" i="3"/>
  <c r="L8" i="4"/>
  <c r="M9" i="4"/>
  <c r="L14" i="5"/>
  <c r="M15" i="5"/>
  <c r="M11" i="4"/>
  <c r="L10" i="4"/>
  <c r="M5" i="5"/>
  <c r="L4" i="5"/>
  <c r="M11" i="5"/>
  <c r="L10" i="5"/>
  <c r="L8" i="5"/>
  <c r="M9" i="5"/>
  <c r="L14" i="4"/>
  <c r="M15" i="4"/>
  <c r="L12" i="5"/>
  <c r="M13" i="5"/>
  <c r="K8" i="3"/>
  <c r="L9" i="3"/>
  <c r="K4" i="3"/>
  <c r="L5" i="3"/>
  <c r="L7" i="3"/>
  <c r="K6" i="3"/>
  <c r="L13" i="3"/>
  <c r="K12" i="3"/>
  <c r="J10" i="8" l="1"/>
</calcChain>
</file>

<file path=xl/sharedStrings.xml><?xml version="1.0" encoding="utf-8"?>
<sst xmlns="http://schemas.openxmlformats.org/spreadsheetml/2006/main" count="213" uniqueCount="45">
  <si>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</si>
  <si>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</si>
  <si>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</si>
  <si>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</si>
  <si>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</si>
  <si>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</si>
  <si>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</si>
  <si>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</si>
  <si>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</si>
  <si>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</si>
  <si>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</si>
  <si>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X</t>
  </si>
  <si>
    <t>A</t>
  </si>
  <si>
    <t>B</t>
  </si>
  <si>
    <t>C</t>
  </si>
  <si>
    <t>D</t>
  </si>
  <si>
    <t>Группа А</t>
  </si>
  <si>
    <t>Группа В</t>
  </si>
  <si>
    <t>Группа С</t>
  </si>
  <si>
    <t>Группа D</t>
  </si>
  <si>
    <t>Кубок Б</t>
  </si>
  <si>
    <t>Кубок А</t>
  </si>
  <si>
    <t xml:space="preserve"> Мишин</t>
  </si>
  <si>
    <t>Кувакин</t>
  </si>
  <si>
    <t xml:space="preserve"> Фальковский</t>
  </si>
  <si>
    <t xml:space="preserve"> Зорро</t>
  </si>
  <si>
    <t>Северов</t>
  </si>
  <si>
    <t>Домбровский С</t>
  </si>
  <si>
    <t>Минькач</t>
  </si>
  <si>
    <t>Клименков</t>
  </si>
  <si>
    <t>Балахтин</t>
  </si>
  <si>
    <t>Захаров</t>
  </si>
  <si>
    <t>Риад</t>
  </si>
  <si>
    <t xml:space="preserve"> Смирнов</t>
  </si>
  <si>
    <t>Пелевин А</t>
  </si>
  <si>
    <t>Иванов Ю</t>
  </si>
  <si>
    <t xml:space="preserve"> Новиков А</t>
  </si>
  <si>
    <t>Капов И</t>
  </si>
  <si>
    <t>Большаков В</t>
  </si>
  <si>
    <t>Федотов</t>
  </si>
  <si>
    <t>Манукян</t>
  </si>
  <si>
    <t>Зимин</t>
  </si>
  <si>
    <t>Зинкеев</t>
  </si>
  <si>
    <t>Горбунов</t>
  </si>
  <si>
    <t>Мишин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</si>
</sst>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##;\-##;0"/>
    <numFmt numFmtId="165" formatCode="\+##;\-##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22"/>
  <sheetViews>
    <sheetView workbookViewId="0">
      <selection activeCell="H13" sqref="H13"/>
    </sheetView>
  </sheetViews>
  <sheetFormatPr defaultRowHeight="15" x14ac:dyDescent="0.25"/>
  <cols>
    <col min="2" max="2" width="18.140625" customWidth="1"/>
  </cols>
  <sheetData>
    <row r="1" spans="1:3" x14ac:dyDescent="0.25">
      <c r="A1">
        <v>88</v>
      </c>
      <c r="B1" t="s">
        <v>22</v>
      </c>
      <c r="C1">
        <f t="shared" ref="C1:C22" si="0">RANK(A1,A:A,0)</f>
        <v>2</v>
      </c>
    </row>
    <row r="2" spans="1:3" x14ac:dyDescent="0.25">
      <c r="A2">
        <v>13</v>
      </c>
      <c r="B2" t="s">
        <v>23</v>
      </c>
      <c r="C2">
        <f t="shared" si="0"/>
        <v>12</v>
      </c>
    </row>
    <row r="3" spans="1:3" x14ac:dyDescent="0.25">
      <c r="A3">
        <v>1</v>
      </c>
      <c r="B3" t="s">
        <v>24</v>
      </c>
      <c r="C3">
        <f t="shared" si="0"/>
        <v>22</v>
      </c>
    </row>
    <row r="4" spans="1:3" x14ac:dyDescent="0.25">
      <c r="A4">
        <v>18</v>
      </c>
      <c r="B4" t="s">
        <v>25</v>
      </c>
      <c r="C4">
        <f t="shared" si="0"/>
        <v>9</v>
      </c>
    </row>
    <row r="5" spans="1:3" x14ac:dyDescent="0.25">
      <c r="A5">
        <v>40</v>
      </c>
      <c r="B5" t="s">
        <v>26</v>
      </c>
      <c r="C5">
        <f t="shared" si="0"/>
        <v>4</v>
      </c>
    </row>
    <row r="6" spans="1:3" x14ac:dyDescent="0.25">
      <c r="A6">
        <v>8</v>
      </c>
      <c r="B6" t="s">
        <v>27</v>
      </c>
      <c r="C6">
        <f t="shared" si="0"/>
        <v>17</v>
      </c>
    </row>
    <row r="7" spans="1:3" x14ac:dyDescent="0.25">
      <c r="A7">
        <v>9</v>
      </c>
      <c r="B7" t="s">
        <v>28</v>
      </c>
      <c r="C7">
        <f t="shared" si="0"/>
        <v>16</v>
      </c>
    </row>
    <row r="8" spans="1:3" x14ac:dyDescent="0.25">
      <c r="A8">
        <v>14</v>
      </c>
      <c r="B8" t="s">
        <v>29</v>
      </c>
      <c r="C8">
        <f t="shared" si="0"/>
        <v>11</v>
      </c>
    </row>
    <row r="9" spans="1:3" x14ac:dyDescent="0.25">
      <c r="A9">
        <v>5</v>
      </c>
      <c r="B9" t="s">
        <v>30</v>
      </c>
      <c r="C9">
        <f t="shared" si="0"/>
        <v>19</v>
      </c>
    </row>
    <row r="10" spans="1:3" x14ac:dyDescent="0.25">
      <c r="A10">
        <v>3</v>
      </c>
      <c r="B10" t="s">
        <v>31</v>
      </c>
      <c r="C10">
        <f t="shared" si="0"/>
        <v>21</v>
      </c>
    </row>
    <row r="11" spans="1:3" x14ac:dyDescent="0.25">
      <c r="A11">
        <v>6</v>
      </c>
      <c r="B11" t="s">
        <v>32</v>
      </c>
      <c r="C11">
        <f t="shared" si="0"/>
        <v>18</v>
      </c>
    </row>
    <row r="12" spans="1:3" x14ac:dyDescent="0.25">
      <c r="A12">
        <v>36</v>
      </c>
      <c r="B12" t="s">
        <v>33</v>
      </c>
      <c r="C12">
        <f t="shared" si="0"/>
        <v>5</v>
      </c>
    </row>
    <row r="13" spans="1:3" x14ac:dyDescent="0.25">
      <c r="A13">
        <v>42</v>
      </c>
      <c r="B13" t="s">
        <v>34</v>
      </c>
      <c r="C13">
        <f t="shared" si="0"/>
        <v>3</v>
      </c>
    </row>
    <row r="14" spans="1:3" x14ac:dyDescent="0.25">
      <c r="A14">
        <v>33</v>
      </c>
      <c r="B14" t="s">
        <v>35</v>
      </c>
      <c r="C14">
        <f t="shared" si="0"/>
        <v>6</v>
      </c>
    </row>
    <row r="15" spans="1:3" x14ac:dyDescent="0.25">
      <c r="A15">
        <v>28</v>
      </c>
      <c r="B15" t="s">
        <v>36</v>
      </c>
      <c r="C15">
        <f t="shared" si="0"/>
        <v>7</v>
      </c>
    </row>
    <row r="16" spans="1:3" x14ac:dyDescent="0.25">
      <c r="A16">
        <v>15</v>
      </c>
      <c r="B16" t="s">
        <v>37</v>
      </c>
      <c r="C16">
        <f t="shared" si="0"/>
        <v>10</v>
      </c>
    </row>
    <row r="17" spans="1:3" x14ac:dyDescent="0.25">
      <c r="A17">
        <v>10</v>
      </c>
      <c r="B17" t="s">
        <v>38</v>
      </c>
      <c r="C17">
        <f t="shared" si="0"/>
        <v>15</v>
      </c>
    </row>
    <row r="18" spans="1:3" x14ac:dyDescent="0.25">
      <c r="A18">
        <v>109</v>
      </c>
      <c r="B18" t="s">
        <v>39</v>
      </c>
      <c r="C18">
        <f t="shared" si="0"/>
        <v>1</v>
      </c>
    </row>
    <row r="19" spans="1:3" x14ac:dyDescent="0.25">
      <c r="A19">
        <v>12</v>
      </c>
      <c r="B19" t="s">
        <v>40</v>
      </c>
      <c r="C19">
        <f t="shared" si="0"/>
        <v>13</v>
      </c>
    </row>
    <row r="20" spans="1:3" x14ac:dyDescent="0.25">
      <c r="A20">
        <v>19</v>
      </c>
      <c r="B20" t="s">
        <v>41</v>
      </c>
      <c r="C20">
        <f t="shared" si="0"/>
        <v>8</v>
      </c>
    </row>
    <row r="21" spans="1:3" x14ac:dyDescent="0.25">
      <c r="A21">
        <v>4</v>
      </c>
      <c r="B21" t="s">
        <v>42</v>
      </c>
      <c r="C21">
        <f t="shared" si="0"/>
        <v>20</v>
      </c>
    </row>
    <row r="22" spans="1:3" x14ac:dyDescent="0.25">
      <c r="A22">
        <v>11</v>
      </c>
      <c r="B22" t="s">
        <v>43</v>
      </c>
      <c r="C22">
        <f t="shared" si="0"/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5"/>
  <sheetViews>
    <sheetView workbookViewId="0">
      <selection activeCell="S13" sqref="S13"/>
    </sheetView>
  </sheetViews>
  <sheetFormatPr defaultRowHeight="15" x14ac:dyDescent="0.25"/>
  <cols>
    <col min="1" max="1" width="4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45" x14ac:dyDescent="0.2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M1"/>
    </row>
    <row r="2" spans="1:13" ht="15.75" thickBot="1" x14ac:dyDescent="0.3">
      <c r="M2"/>
    </row>
    <row r="3" spans="1:13" ht="15.75" thickBot="1" x14ac:dyDescent="0.3">
      <c r="A3" s="1"/>
      <c r="B3" s="2"/>
      <c r="C3" s="43" t="s">
        <v>0</v>
      </c>
      <c r="D3" s="44"/>
      <c r="E3" s="45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 t="s">
        <v>11</v>
      </c>
      <c r="B4" s="46">
        <v>1</v>
      </c>
      <c r="C4" s="48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Пелевин А</v>
      </c>
      <c r="D4" s="49"/>
      <c r="E4" s="50"/>
      <c r="F4" s="6" t="s">
        <v>4</v>
      </c>
      <c r="G4" s="7" t="str">
        <f ca="1">INDIRECT(ADDRESS(23,6))&amp;":"&amp;INDIRECT(ADDRESS(23,7))</f>
        <v>13:6</v>
      </c>
      <c r="H4" s="7" t="str">
        <f ca="1">INDIRECT(ADDRESS(26,7))&amp;":"&amp;INDIRECT(ADDRESS(26,6))</f>
        <v>10:13</v>
      </c>
      <c r="I4" s="7" t="str">
        <f ca="1">INDIRECT(ADDRESS(30,6))&amp;":"&amp;INDIRECT(ADDRESS(30,7))</f>
        <v>13:3</v>
      </c>
      <c r="J4" s="8" t="str">
        <f ca="1">INDIRECT(ADDRESS(35,7))&amp;":"&amp;INDIRECT(ADDRESS(35,6))</f>
        <v>11:13</v>
      </c>
      <c r="K4" s="54">
        <f ca="1">IF(COUNT(F5:J5)=0,"",COUNTIF(F5:J5,"&gt;0")+0.5*COUNTIF(F5:J5,0))</f>
        <v>2</v>
      </c>
      <c r="L4" s="9">
        <v>8</v>
      </c>
      <c r="M4" s="40">
        <v>2</v>
      </c>
    </row>
    <row r="5" spans="1:13" ht="21" x14ac:dyDescent="0.25">
      <c r="A5" s="1">
        <v>3</v>
      </c>
      <c r="B5" s="47"/>
      <c r="C5" s="51"/>
      <c r="D5" s="52"/>
      <c r="E5" s="53"/>
      <c r="F5" s="10" t="s">
        <v>4</v>
      </c>
      <c r="G5" s="11">
        <f ca="1">IF(LEN(INDIRECT(ADDRESS(ROW()-1, COLUMN())))=1,"",INDIRECT(ADDRESS(23,6))-INDIRECT(ADDRESS(23,7)))</f>
        <v>7</v>
      </c>
      <c r="H5" s="11">
        <f ca="1">IF(LEN(INDIRECT(ADDRESS(ROW()-1, COLUMN())))=1,"",INDIRECT(ADDRESS(26,7))-INDIRECT(ADDRESS(26,6)))</f>
        <v>-3</v>
      </c>
      <c r="I5" s="11">
        <f ca="1">IF(LEN(INDIRECT(ADDRESS(ROW()-1, COLUMN())))=1,"",INDIRECT(ADDRESS(30,6))-INDIRECT(ADDRESS(30,7)))</f>
        <v>10</v>
      </c>
      <c r="J5" s="12">
        <f ca="1">IF(LEN(INDIRECT(ADDRESS(ROW()-1, COLUMN())))=1,"",INDIRECT(ADDRESS(35,7))-INDIRECT(ADDRESS(35,6)))</f>
        <v>-2</v>
      </c>
      <c r="K5" s="55"/>
      <c r="L5" s="11">
        <f ca="1">IF(COUNT(F5:J5)=0,"",SUM(F5:J5))</f>
        <v>12</v>
      </c>
      <c r="M5" s="41"/>
    </row>
    <row r="6" spans="1:13" ht="21" x14ac:dyDescent="0.25">
      <c r="A6" s="1" t="s">
        <v>11</v>
      </c>
      <c r="B6" s="56">
        <v>2</v>
      </c>
      <c r="C6" s="51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Клименков</v>
      </c>
      <c r="D6" s="52"/>
      <c r="E6" s="53"/>
      <c r="F6" s="13" t="str">
        <f ca="1">INDIRECT(ADDRESS(23,7))&amp;":"&amp;INDIRECT(ADDRESS(23,6))</f>
        <v>6:13</v>
      </c>
      <c r="G6" s="14" t="s">
        <v>4</v>
      </c>
      <c r="H6" s="15" t="str">
        <f ca="1">INDIRECT(ADDRESS(31,6))&amp;":"&amp;INDIRECT(ADDRESS(31,7))</f>
        <v>5:13</v>
      </c>
      <c r="I6" s="15" t="str">
        <f ca="1">INDIRECT(ADDRESS(34,7))&amp;":"&amp;INDIRECT(ADDRESS(34,6))</f>
        <v>9:13</v>
      </c>
      <c r="J6" s="16" t="str">
        <f ca="1">INDIRECT(ADDRESS(18,6))&amp;":"&amp;INDIRECT(ADDRESS(18,7))</f>
        <v>4:13</v>
      </c>
      <c r="K6" s="55">
        <f ca="1">IF(COUNT(F7:J7)=0,"",COUNTIF(F7:J7,"&gt;0")+0.5*COUNTIF(F7:J7,0))</f>
        <v>0</v>
      </c>
      <c r="L6" s="11"/>
      <c r="M6" s="41">
        <v>5</v>
      </c>
    </row>
    <row r="7" spans="1:13" ht="21" x14ac:dyDescent="0.25">
      <c r="A7" s="1">
        <v>11</v>
      </c>
      <c r="B7" s="47"/>
      <c r="C7" s="51"/>
      <c r="D7" s="52"/>
      <c r="E7" s="53"/>
      <c r="F7" s="17">
        <f ca="1">IF(LEN(INDIRECT(ADDRESS(ROW()-1, COLUMN())))=1,"",INDIRECT(ADDRESS(23,7))-INDIRECT(ADDRESS(23,6)))</f>
        <v>-7</v>
      </c>
      <c r="G7" s="18" t="s">
        <v>4</v>
      </c>
      <c r="H7" s="11">
        <f ca="1">IF(LEN(INDIRECT(ADDRESS(ROW()-1, COLUMN())))=1,"",INDIRECT(ADDRESS(31,6))-INDIRECT(ADDRESS(31,7)))</f>
        <v>-8</v>
      </c>
      <c r="I7" s="11">
        <f ca="1">IF(LEN(INDIRECT(ADDRESS(ROW()-1, COLUMN())))=1,"",INDIRECT(ADDRESS(34,7))-INDIRECT(ADDRESS(34,6)))</f>
        <v>-4</v>
      </c>
      <c r="J7" s="12">
        <f ca="1">IF(LEN(INDIRECT(ADDRESS(ROW()-1, COLUMN())))=1,"",INDIRECT(ADDRESS(18,6))-INDIRECT(ADDRESS(18,7)))</f>
        <v>-9</v>
      </c>
      <c r="K7" s="55"/>
      <c r="L7" s="11">
        <f ca="1">IF(COUNT(F7:J7)=0,"",SUM(F7:J7))</f>
        <v>-28</v>
      </c>
      <c r="M7" s="41"/>
    </row>
    <row r="8" spans="1:13" ht="21" x14ac:dyDescent="0.25">
      <c r="A8" s="1" t="s">
        <v>11</v>
      </c>
      <c r="B8" s="56">
        <v>3</v>
      </c>
      <c r="C8" s="51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 xml:space="preserve"> Новиков А</v>
      </c>
      <c r="D8" s="52"/>
      <c r="E8" s="53"/>
      <c r="F8" s="13" t="str">
        <f ca="1">INDIRECT(ADDRESS(26,6))&amp;":"&amp;INDIRECT(ADDRESS(26,7))</f>
        <v>13:10</v>
      </c>
      <c r="G8" s="15" t="str">
        <f ca="1">INDIRECT(ADDRESS(31,7))&amp;":"&amp;INDIRECT(ADDRESS(31,6))</f>
        <v>13:5</v>
      </c>
      <c r="H8" s="14" t="s">
        <v>4</v>
      </c>
      <c r="I8" s="15" t="str">
        <f ca="1">INDIRECT(ADDRESS(19,6))&amp;":"&amp;INDIRECT(ADDRESS(19,7))</f>
        <v>13:6</v>
      </c>
      <c r="J8" s="16" t="str">
        <f ca="1">INDIRECT(ADDRESS(22,7))&amp;":"&amp;INDIRECT(ADDRESS(22,6))</f>
        <v>13:4</v>
      </c>
      <c r="K8" s="55">
        <f ca="1">IF(COUNT(F9:J9)=0,"",COUNTIF(F9:J9,"&gt;0")+0.5*COUNTIF(F9:J9,0))</f>
        <v>4</v>
      </c>
      <c r="L8" s="11"/>
      <c r="M8" s="41">
        <v>1</v>
      </c>
    </row>
    <row r="9" spans="1:13" ht="21" x14ac:dyDescent="0.25">
      <c r="A9" s="1">
        <v>7</v>
      </c>
      <c r="B9" s="47"/>
      <c r="C9" s="51"/>
      <c r="D9" s="52"/>
      <c r="E9" s="53"/>
      <c r="F9" s="17">
        <f ca="1">IF(LEN(INDIRECT(ADDRESS(ROW()-1, COLUMN())))=1,"",INDIRECT(ADDRESS(26,6))-INDIRECT(ADDRESS(26,7)))</f>
        <v>3</v>
      </c>
      <c r="G9" s="11">
        <f ca="1">IF(LEN(INDIRECT(ADDRESS(ROW()-1, COLUMN())))=1,"",INDIRECT(ADDRESS(31,7))-INDIRECT(ADDRESS(31,6)))</f>
        <v>8</v>
      </c>
      <c r="H9" s="18" t="s">
        <v>4</v>
      </c>
      <c r="I9" s="11">
        <f ca="1">IF(LEN(INDIRECT(ADDRESS(ROW()-1, COLUMN())))=1,"",INDIRECT(ADDRESS(19,6))-INDIRECT(ADDRESS(19,7)))</f>
        <v>7</v>
      </c>
      <c r="J9" s="12">
        <f ca="1">IF(LEN(INDIRECT(ADDRESS(ROW()-1, COLUMN())))=1,"",INDIRECT(ADDRESS(22,7))-INDIRECT(ADDRESS(22,6)))</f>
        <v>9</v>
      </c>
      <c r="K9" s="55"/>
      <c r="L9" s="11">
        <f ca="1">IF(COUNT(F9:J9)=0,"",SUM(F9:J9))</f>
        <v>27</v>
      </c>
      <c r="M9" s="41"/>
    </row>
    <row r="10" spans="1:13" ht="21" x14ac:dyDescent="0.25">
      <c r="A10" s="1" t="s">
        <v>11</v>
      </c>
      <c r="B10" s="56">
        <v>4</v>
      </c>
      <c r="C10" s="51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Большаков В</v>
      </c>
      <c r="D10" s="52"/>
      <c r="E10" s="53"/>
      <c r="F10" s="13" t="str">
        <f ca="1">INDIRECT(ADDRESS(30,7))&amp;":"&amp;INDIRECT(ADDRESS(30,6))</f>
        <v>3:13</v>
      </c>
      <c r="G10" s="15" t="str">
        <f ca="1">INDIRECT(ADDRESS(34,6))&amp;":"&amp;INDIRECT(ADDRESS(34,7))</f>
        <v>13:9</v>
      </c>
      <c r="H10" s="15" t="str">
        <f ca="1">INDIRECT(ADDRESS(19,7))&amp;":"&amp;INDIRECT(ADDRESS(19,6))</f>
        <v>6:13</v>
      </c>
      <c r="I10" s="14" t="s">
        <v>4</v>
      </c>
      <c r="J10" s="16" t="str">
        <f ca="1">INDIRECT(ADDRESS(27,6))&amp;":"&amp;INDIRECT(ADDRESS(27,7))</f>
        <v>13:0</v>
      </c>
      <c r="K10" s="55">
        <f ca="1">IF(COUNT(F11:J11)=0,"",COUNTIF(F11:J11,"&gt;0")+0.5*COUNTIF(F11:J11,0))</f>
        <v>2</v>
      </c>
      <c r="L10" s="11">
        <v>3</v>
      </c>
      <c r="M10" s="41">
        <v>3</v>
      </c>
    </row>
    <row r="11" spans="1:13" ht="21" x14ac:dyDescent="0.25">
      <c r="A11" s="1">
        <v>15</v>
      </c>
      <c r="B11" s="47"/>
      <c r="C11" s="51"/>
      <c r="D11" s="52"/>
      <c r="E11" s="53"/>
      <c r="F11" s="17">
        <f ca="1">IF(LEN(INDIRECT(ADDRESS(ROW()-1, COLUMN())))=1,"",INDIRECT(ADDRESS(30,7))-INDIRECT(ADDRESS(30,6)))</f>
        <v>-10</v>
      </c>
      <c r="G11" s="11">
        <f ca="1">IF(LEN(INDIRECT(ADDRESS(ROW()-1, COLUMN())))=1,"",INDIRECT(ADDRESS(34,6))-INDIRECT(ADDRESS(34,7)))</f>
        <v>4</v>
      </c>
      <c r="H11" s="11">
        <f ca="1">IF(LEN(INDIRECT(ADDRESS(ROW()-1, COLUMN())))=1,"",INDIRECT(ADDRESS(19,7))-INDIRECT(ADDRESS(19,6)))</f>
        <v>-7</v>
      </c>
      <c r="I11" s="18" t="s">
        <v>4</v>
      </c>
      <c r="J11" s="12">
        <f ca="1">IF(LEN(INDIRECT(ADDRESS(ROW()-1, COLUMN())))=1,"",INDIRECT(ADDRESS(27,6))-INDIRECT(ADDRESS(27,7)))</f>
        <v>13</v>
      </c>
      <c r="K11" s="55"/>
      <c r="L11" s="11">
        <f ca="1">IF(COUNT(F11:J11)=0,"",SUM(F11:J11))</f>
        <v>0</v>
      </c>
      <c r="M11" s="41"/>
    </row>
    <row r="12" spans="1:13" ht="21" x14ac:dyDescent="0.25">
      <c r="A12" s="1" t="s">
        <v>11</v>
      </c>
      <c r="B12" s="56">
        <v>5</v>
      </c>
      <c r="C12" s="51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Балахтин</v>
      </c>
      <c r="D12" s="52"/>
      <c r="E12" s="53"/>
      <c r="F12" s="13" t="str">
        <f ca="1">INDIRECT(ADDRESS(35,6))&amp;":"&amp;INDIRECT(ADDRESS(35,7))</f>
        <v>13:11</v>
      </c>
      <c r="G12" s="15" t="str">
        <f ca="1">INDIRECT(ADDRESS(18,7))&amp;":"&amp;INDIRECT(ADDRESS(18,6))</f>
        <v>13:4</v>
      </c>
      <c r="H12" s="15" t="str">
        <f ca="1">INDIRECT(ADDRESS(22,6))&amp;":"&amp;INDIRECT(ADDRESS(22,7))</f>
        <v>4:13</v>
      </c>
      <c r="I12" s="15" t="str">
        <f ca="1">INDIRECT(ADDRESS(27,7))&amp;":"&amp;INDIRECT(ADDRESS(27,6))</f>
        <v>0:13</v>
      </c>
      <c r="J12" s="19" t="s">
        <v>4</v>
      </c>
      <c r="K12" s="55">
        <f ca="1">IF(COUNT(F13:J13)=0,"",COUNTIF(F13:J13,"&gt;0")+0.5*COUNTIF(F13:J13,0))</f>
        <v>2</v>
      </c>
      <c r="L12" s="11">
        <v>-11</v>
      </c>
      <c r="M12" s="41">
        <v>4</v>
      </c>
    </row>
    <row r="13" spans="1:13" ht="21.75" thickBot="1" x14ac:dyDescent="0.3">
      <c r="A13" s="1">
        <v>19</v>
      </c>
      <c r="B13" s="58"/>
      <c r="C13" s="59"/>
      <c r="D13" s="60"/>
      <c r="E13" s="61"/>
      <c r="F13" s="20">
        <f ca="1">IF(LEN(INDIRECT(ADDRESS(ROW()-1, COLUMN())))=1,"",INDIRECT(ADDRESS(35,6))-INDIRECT(ADDRESS(35,7)))</f>
        <v>2</v>
      </c>
      <c r="G13" s="21">
        <f ca="1">IF(LEN(INDIRECT(ADDRESS(ROW()-1, COLUMN())))=1,"",INDIRECT(ADDRESS(18,7))-INDIRECT(ADDRESS(18,6)))</f>
        <v>9</v>
      </c>
      <c r="H13" s="21">
        <f ca="1">IF(LEN(INDIRECT(ADDRESS(ROW()-1, COLUMN())))=1,"",INDIRECT(ADDRESS(22,6))-INDIRECT(ADDRESS(22,7)))</f>
        <v>-9</v>
      </c>
      <c r="I13" s="21">
        <f ca="1">IF(LEN(INDIRECT(ADDRESS(ROW()-1, COLUMN())))=1,"",INDIRECT(ADDRESS(27,7))-INDIRECT(ADDRESS(27,6)))</f>
        <v>-13</v>
      </c>
      <c r="J13" s="22" t="s">
        <v>4</v>
      </c>
      <c r="K13" s="62"/>
      <c r="L13" s="21">
        <f ca="1">IF(COUNT(F13:J13)=0,"",SUM(F13:J13))</f>
        <v>-11</v>
      </c>
      <c r="M13" s="63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2:13" ht="21.75" thickBot="1" x14ac:dyDescent="0.3">
      <c r="B17" s="57" t="s">
        <v>5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2:13" ht="19.5" thickBot="1" x14ac:dyDescent="0.3">
      <c r="B18" s="1">
        <v>2</v>
      </c>
      <c r="C18" s="64" t="str">
        <f ca="1">IF(ISBLANK(INDIRECT(ADDRESS(B18*2+2,3))),"",INDIRECT(ADDRESS(B18*2+2,3)))</f>
        <v>Клименков</v>
      </c>
      <c r="D18" s="64"/>
      <c r="E18" s="65"/>
      <c r="F18" s="24">
        <v>4</v>
      </c>
      <c r="G18" s="25">
        <v>13</v>
      </c>
      <c r="H18" s="66" t="str">
        <f ca="1">IF(ISBLANK(INDIRECT(ADDRESS(K18*2+2,3))),"",INDIRECT(ADDRESS(K18*2+2,3)))</f>
        <v>Балахтин</v>
      </c>
      <c r="I18" s="64"/>
      <c r="J18" s="64"/>
      <c r="K18" s="1">
        <v>5</v>
      </c>
      <c r="L18" s="26" t="s">
        <v>6</v>
      </c>
      <c r="M18" s="27">
        <v>11</v>
      </c>
    </row>
    <row r="19" spans="2:13" ht="19.5" thickBot="1" x14ac:dyDescent="0.3">
      <c r="B19" s="1">
        <v>3</v>
      </c>
      <c r="C19" s="64" t="str">
        <f ca="1">IF(ISBLANK(INDIRECT(ADDRESS(B19*2+2,3))),"",INDIRECT(ADDRESS(B19*2+2,3)))</f>
        <v xml:space="preserve"> Новиков А</v>
      </c>
      <c r="D19" s="64"/>
      <c r="E19" s="65"/>
      <c r="F19" s="24">
        <v>13</v>
      </c>
      <c r="G19" s="25">
        <v>6</v>
      </c>
      <c r="H19" s="66" t="str">
        <f ca="1">IF(ISBLANK(INDIRECT(ADDRESS(K19*2+2,3))),"",INDIRECT(ADDRESS(K19*2+2,3)))</f>
        <v>Большаков В</v>
      </c>
      <c r="I19" s="64"/>
      <c r="J19" s="64"/>
      <c r="K19" s="1">
        <v>4</v>
      </c>
      <c r="L19" s="26" t="s">
        <v>6</v>
      </c>
      <c r="M19" s="27">
        <v>12</v>
      </c>
    </row>
    <row r="20" spans="2:13" x14ac:dyDescent="0.25">
      <c r="M20" s="1"/>
    </row>
    <row r="21" spans="2:13" ht="21.75" thickBot="1" x14ac:dyDescent="0.3">
      <c r="B21" s="57" t="s">
        <v>7</v>
      </c>
      <c r="C21" s="57"/>
      <c r="D21" s="57"/>
      <c r="E21" s="57"/>
      <c r="F21" s="57"/>
      <c r="G21" s="57"/>
      <c r="H21" s="57"/>
      <c r="I21" s="57"/>
      <c r="J21" s="57"/>
      <c r="K21" s="57"/>
      <c r="M21" s="1"/>
    </row>
    <row r="22" spans="2:13" ht="19.5" thickBot="1" x14ac:dyDescent="0.3">
      <c r="B22" s="1">
        <v>5</v>
      </c>
      <c r="C22" s="64" t="str">
        <f ca="1">IF(ISBLANK(INDIRECT(ADDRESS(B22*2+2,3))),"",INDIRECT(ADDRESS(B22*2+2,3)))</f>
        <v>Балахтин</v>
      </c>
      <c r="D22" s="64"/>
      <c r="E22" s="65"/>
      <c r="F22" s="24">
        <v>4</v>
      </c>
      <c r="G22" s="25">
        <v>13</v>
      </c>
      <c r="H22" s="66" t="str">
        <f ca="1">IF(ISBLANK(INDIRECT(ADDRESS(K22*2+2,3))),"",INDIRECT(ADDRESS(K22*2+2,3)))</f>
        <v xml:space="preserve"> Новиков А</v>
      </c>
      <c r="I22" s="64"/>
      <c r="J22" s="64"/>
      <c r="K22" s="1">
        <v>3</v>
      </c>
      <c r="L22" s="26" t="s">
        <v>6</v>
      </c>
      <c r="M22" s="27">
        <v>1</v>
      </c>
    </row>
    <row r="23" spans="2:13" ht="19.5" thickBot="1" x14ac:dyDescent="0.3">
      <c r="B23" s="1">
        <v>1</v>
      </c>
      <c r="C23" s="64" t="str">
        <f ca="1">IF(ISBLANK(INDIRECT(ADDRESS(B23*2+2,3))),"",INDIRECT(ADDRESS(B23*2+2,3)))</f>
        <v>Пелевин А</v>
      </c>
      <c r="D23" s="64"/>
      <c r="E23" s="65"/>
      <c r="F23" s="24">
        <v>13</v>
      </c>
      <c r="G23" s="25">
        <v>6</v>
      </c>
      <c r="H23" s="66" t="str">
        <f ca="1">IF(ISBLANK(INDIRECT(ADDRESS(K23*2+2,3))),"",INDIRECT(ADDRESS(K23*2+2,3)))</f>
        <v>Клименков</v>
      </c>
      <c r="I23" s="64"/>
      <c r="J23" s="64"/>
      <c r="K23" s="1">
        <v>2</v>
      </c>
      <c r="L23" s="26" t="s">
        <v>6</v>
      </c>
      <c r="M23" s="27">
        <v>2</v>
      </c>
    </row>
    <row r="24" spans="2:13" x14ac:dyDescent="0.25">
      <c r="M24" s="1"/>
    </row>
    <row r="25" spans="2:13" ht="21.75" thickBot="1" x14ac:dyDescent="0.3">
      <c r="B25" s="57" t="s">
        <v>8</v>
      </c>
      <c r="C25" s="57"/>
      <c r="D25" s="57"/>
      <c r="E25" s="57"/>
      <c r="F25" s="57"/>
      <c r="G25" s="57"/>
      <c r="H25" s="57"/>
      <c r="I25" s="57"/>
      <c r="J25" s="57"/>
      <c r="K25" s="57"/>
      <c r="M25" s="1"/>
    </row>
    <row r="26" spans="2:13" ht="19.5" thickBot="1" x14ac:dyDescent="0.3">
      <c r="B26" s="1">
        <v>3</v>
      </c>
      <c r="C26" s="64" t="str">
        <f ca="1">IF(ISBLANK(INDIRECT(ADDRESS(B26*2+2,3))),"",INDIRECT(ADDRESS(B26*2+2,3)))</f>
        <v xml:space="preserve"> Новиков А</v>
      </c>
      <c r="D26" s="64"/>
      <c r="E26" s="65"/>
      <c r="F26" s="24">
        <v>13</v>
      </c>
      <c r="G26" s="25">
        <v>10</v>
      </c>
      <c r="H26" s="66" t="str">
        <f ca="1">IF(ISBLANK(INDIRECT(ADDRESS(K26*2+2,3))),"",INDIRECT(ADDRESS(K26*2+2,3)))</f>
        <v>Пелевин А</v>
      </c>
      <c r="I26" s="64"/>
      <c r="J26" s="64"/>
      <c r="K26" s="1">
        <v>1</v>
      </c>
      <c r="L26" s="26" t="s">
        <v>6</v>
      </c>
      <c r="M26" s="27">
        <v>5</v>
      </c>
    </row>
    <row r="27" spans="2:13" ht="19.5" thickBot="1" x14ac:dyDescent="0.3">
      <c r="B27" s="1">
        <v>4</v>
      </c>
      <c r="C27" s="64" t="str">
        <f ca="1">IF(ISBLANK(INDIRECT(ADDRESS(B27*2+2,3))),"",INDIRECT(ADDRESS(B27*2+2,3)))</f>
        <v>Большаков В</v>
      </c>
      <c r="D27" s="64"/>
      <c r="E27" s="65"/>
      <c r="F27" s="24">
        <v>13</v>
      </c>
      <c r="G27" s="25">
        <v>0</v>
      </c>
      <c r="H27" s="66" t="str">
        <f ca="1">IF(ISBLANK(INDIRECT(ADDRESS(K27*2+2,3))),"",INDIRECT(ADDRESS(K27*2+2,3)))</f>
        <v>Балахтин</v>
      </c>
      <c r="I27" s="64"/>
      <c r="J27" s="64"/>
      <c r="K27" s="1">
        <v>5</v>
      </c>
      <c r="L27" s="26" t="s">
        <v>6</v>
      </c>
      <c r="M27" s="27">
        <v>6</v>
      </c>
    </row>
    <row r="28" spans="2:13" x14ac:dyDescent="0.25">
      <c r="M28" s="1"/>
    </row>
    <row r="29" spans="2:13" ht="21.75" thickBot="1" x14ac:dyDescent="0.3">
      <c r="B29" s="57" t="s">
        <v>9</v>
      </c>
      <c r="C29" s="57"/>
      <c r="D29" s="57"/>
      <c r="E29" s="57"/>
      <c r="F29" s="57"/>
      <c r="G29" s="57"/>
      <c r="H29" s="57"/>
      <c r="I29" s="57"/>
      <c r="J29" s="57"/>
      <c r="K29" s="57"/>
      <c r="M29" s="1"/>
    </row>
    <row r="30" spans="2:13" ht="19.5" thickBot="1" x14ac:dyDescent="0.3">
      <c r="B30" s="1">
        <v>1</v>
      </c>
      <c r="C30" s="64" t="str">
        <f ca="1">IF(ISBLANK(INDIRECT(ADDRESS(B30*2+2,3))),"",INDIRECT(ADDRESS(B30*2+2,3)))</f>
        <v>Пелевин А</v>
      </c>
      <c r="D30" s="64"/>
      <c r="E30" s="65"/>
      <c r="F30" s="24">
        <v>13</v>
      </c>
      <c r="G30" s="25">
        <v>3</v>
      </c>
      <c r="H30" s="66" t="str">
        <f ca="1">IF(ISBLANK(INDIRECT(ADDRESS(K30*2+2,3))),"",INDIRECT(ADDRESS(K30*2+2,3)))</f>
        <v>Большаков В</v>
      </c>
      <c r="I30" s="64"/>
      <c r="J30" s="64"/>
      <c r="K30" s="1">
        <v>4</v>
      </c>
      <c r="L30" s="26" t="s">
        <v>6</v>
      </c>
      <c r="M30" s="27">
        <v>9</v>
      </c>
    </row>
    <row r="31" spans="2:13" ht="19.5" thickBot="1" x14ac:dyDescent="0.3">
      <c r="B31" s="1">
        <v>2</v>
      </c>
      <c r="C31" s="64" t="str">
        <f ca="1">IF(ISBLANK(INDIRECT(ADDRESS(B31*2+2,3))),"",INDIRECT(ADDRESS(B31*2+2,3)))</f>
        <v>Клименков</v>
      </c>
      <c r="D31" s="64"/>
      <c r="E31" s="65"/>
      <c r="F31" s="24">
        <v>5</v>
      </c>
      <c r="G31" s="25">
        <v>13</v>
      </c>
      <c r="H31" s="66" t="str">
        <f ca="1">IF(ISBLANK(INDIRECT(ADDRESS(K31*2+2,3))),"",INDIRECT(ADDRESS(K31*2+2,3)))</f>
        <v xml:space="preserve"> Новиков А</v>
      </c>
      <c r="I31" s="64"/>
      <c r="J31" s="64"/>
      <c r="K31" s="1">
        <v>3</v>
      </c>
      <c r="L31" s="26" t="s">
        <v>6</v>
      </c>
      <c r="M31" s="27">
        <v>10</v>
      </c>
    </row>
    <row r="32" spans="2:13" x14ac:dyDescent="0.25">
      <c r="M32" s="1"/>
    </row>
    <row r="33" spans="2:13" ht="21.75" thickBot="1" x14ac:dyDescent="0.3">
      <c r="B33" s="57" t="s">
        <v>10</v>
      </c>
      <c r="C33" s="57"/>
      <c r="D33" s="57"/>
      <c r="E33" s="57"/>
      <c r="F33" s="57"/>
      <c r="G33" s="57"/>
      <c r="H33" s="57"/>
      <c r="I33" s="57"/>
      <c r="J33" s="57"/>
      <c r="K33" s="57"/>
      <c r="M33" s="1"/>
    </row>
    <row r="34" spans="2:13" ht="19.5" thickBot="1" x14ac:dyDescent="0.3">
      <c r="B34" s="1">
        <v>4</v>
      </c>
      <c r="C34" s="64" t="str">
        <f ca="1">IF(ISBLANK(INDIRECT(ADDRESS(B34*2+2,3))),"",INDIRECT(ADDRESS(B34*2+2,3)))</f>
        <v>Большаков В</v>
      </c>
      <c r="D34" s="64"/>
      <c r="E34" s="65"/>
      <c r="F34" s="24">
        <v>13</v>
      </c>
      <c r="G34" s="25">
        <v>9</v>
      </c>
      <c r="H34" s="66" t="str">
        <f ca="1">IF(ISBLANK(INDIRECT(ADDRESS(K34*2+2,3))),"",INDIRECT(ADDRESS(K34*2+2,3)))</f>
        <v>Клименков</v>
      </c>
      <c r="I34" s="64"/>
      <c r="J34" s="64"/>
      <c r="K34" s="1">
        <v>2</v>
      </c>
      <c r="L34" s="26" t="s">
        <v>6</v>
      </c>
      <c r="M34" s="27">
        <v>13</v>
      </c>
    </row>
    <row r="35" spans="2:13" ht="19.5" thickBot="1" x14ac:dyDescent="0.3">
      <c r="B35" s="1">
        <v>5</v>
      </c>
      <c r="C35" s="64" t="str">
        <f ca="1">IF(ISBLANK(INDIRECT(ADDRESS(B35*2+2,3))),"",INDIRECT(ADDRESS(B35*2+2,3)))</f>
        <v>Балахтин</v>
      </c>
      <c r="D35" s="64"/>
      <c r="E35" s="65"/>
      <c r="F35" s="24">
        <v>13</v>
      </c>
      <c r="G35" s="25">
        <v>11</v>
      </c>
      <c r="H35" s="66" t="str">
        <f ca="1">IF(ISBLANK(INDIRECT(ADDRESS(K35*2+2,3))),"",INDIRECT(ADDRESS(K35*2+2,3)))</f>
        <v>Пелевин А</v>
      </c>
      <c r="I35" s="64"/>
      <c r="J35" s="64"/>
      <c r="K35" s="1">
        <v>1</v>
      </c>
      <c r="L35" s="26" t="s">
        <v>6</v>
      </c>
      <c r="M35" s="27">
        <v>14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H16" sqref="H16"/>
    </sheetView>
  </sheetViews>
  <sheetFormatPr defaultRowHeight="15" x14ac:dyDescent="0.25"/>
  <cols>
    <col min="1" max="1" width="4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45" x14ac:dyDescent="0.25">
      <c r="B1" s="42" t="s">
        <v>19</v>
      </c>
      <c r="C1" s="42"/>
      <c r="D1" s="42"/>
      <c r="E1" s="42"/>
      <c r="F1" s="42"/>
      <c r="G1" s="42"/>
      <c r="H1" s="42"/>
      <c r="I1" s="42"/>
      <c r="J1" s="42"/>
      <c r="K1" s="42"/>
      <c r="M1"/>
    </row>
    <row r="2" spans="1:13" ht="15.75" thickBot="1" x14ac:dyDescent="0.3">
      <c r="M2"/>
    </row>
    <row r="3" spans="1:13" ht="15.75" thickBot="1" x14ac:dyDescent="0.3">
      <c r="A3" s="1"/>
      <c r="B3" s="38"/>
      <c r="C3" s="43" t="s">
        <v>0</v>
      </c>
      <c r="D3" s="44"/>
      <c r="E3" s="45"/>
      <c r="F3" s="3">
        <v>1</v>
      </c>
      <c r="G3" s="3">
        <v>2</v>
      </c>
      <c r="H3" s="3">
        <v>3</v>
      </c>
      <c r="I3" s="4">
        <v>4</v>
      </c>
      <c r="J3" s="4">
        <v>5</v>
      </c>
      <c r="K3" s="38" t="s">
        <v>1</v>
      </c>
      <c r="L3" s="3" t="s">
        <v>2</v>
      </c>
      <c r="M3" s="5" t="s">
        <v>3</v>
      </c>
    </row>
    <row r="4" spans="1:13" ht="21" x14ac:dyDescent="0.25">
      <c r="A4" s="1" t="s">
        <v>11</v>
      </c>
      <c r="B4" s="46">
        <v>1</v>
      </c>
      <c r="C4" s="48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Северов</v>
      </c>
      <c r="D4" s="49"/>
      <c r="E4" s="50"/>
      <c r="F4" s="6" t="s">
        <v>4</v>
      </c>
      <c r="G4" s="7" t="str">
        <f ca="1">INDIRECT(ADDRESS(23,6))&amp;":"&amp;INDIRECT(ADDRESS(23,7))</f>
        <v>13:6</v>
      </c>
      <c r="H4" s="7" t="str">
        <f ca="1">INDIRECT(ADDRESS(26,7))&amp;":"&amp;INDIRECT(ADDRESS(26,6))</f>
        <v>13:8</v>
      </c>
      <c r="I4" s="7" t="str">
        <f ca="1">INDIRECT(ADDRESS(30,6))&amp;":"&amp;INDIRECT(ADDRESS(30,7))</f>
        <v>13:6</v>
      </c>
      <c r="J4" s="8" t="str">
        <f ca="1">INDIRECT(ADDRESS(35,7))&amp;":"&amp;INDIRECT(ADDRESS(35,6))</f>
        <v>13:10</v>
      </c>
      <c r="K4" s="54">
        <f ca="1">IF(COUNT(F5:J5)=0,"",COUNTIF(F5:J5,"&gt;0")+0.5*COUNTIF(F5:J5,0))</f>
        <v>4</v>
      </c>
      <c r="L4" s="9"/>
      <c r="M4" s="40">
        <v>1</v>
      </c>
    </row>
    <row r="5" spans="1:13" ht="21" x14ac:dyDescent="0.25">
      <c r="A5" s="1">
        <v>4</v>
      </c>
      <c r="B5" s="47"/>
      <c r="C5" s="51"/>
      <c r="D5" s="52"/>
      <c r="E5" s="53"/>
      <c r="F5" s="10" t="s">
        <v>4</v>
      </c>
      <c r="G5" s="11">
        <f ca="1">IF(LEN(INDIRECT(ADDRESS(ROW()-1, COLUMN())))=1,"",INDIRECT(ADDRESS(23,6))-INDIRECT(ADDRESS(23,7)))</f>
        <v>7</v>
      </c>
      <c r="H5" s="11">
        <f ca="1">IF(LEN(INDIRECT(ADDRESS(ROW()-1, COLUMN())))=1,"",INDIRECT(ADDRESS(26,7))-INDIRECT(ADDRESS(26,6)))</f>
        <v>5</v>
      </c>
      <c r="I5" s="11">
        <f ca="1">IF(LEN(INDIRECT(ADDRESS(ROW()-1, COLUMN())))=1,"",INDIRECT(ADDRESS(30,6))-INDIRECT(ADDRESS(30,7)))</f>
        <v>7</v>
      </c>
      <c r="J5" s="12">
        <f ca="1">IF(LEN(INDIRECT(ADDRESS(ROW()-1, COLUMN())))=1,"",INDIRECT(ADDRESS(35,7))-INDIRECT(ADDRESS(35,6)))</f>
        <v>3</v>
      </c>
      <c r="K5" s="55"/>
      <c r="L5" s="11">
        <f ca="1">IF(COUNT(F5:J5)=0,"",SUM(F5:J5))</f>
        <v>22</v>
      </c>
      <c r="M5" s="41"/>
    </row>
    <row r="6" spans="1:13" ht="21" x14ac:dyDescent="0.25">
      <c r="A6" s="1" t="s">
        <v>11</v>
      </c>
      <c r="B6" s="56">
        <v>2</v>
      </c>
      <c r="C6" s="51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Кувакин</v>
      </c>
      <c r="D6" s="52"/>
      <c r="E6" s="53"/>
      <c r="F6" s="13" t="str">
        <f ca="1">INDIRECT(ADDRESS(23,7))&amp;":"&amp;INDIRECT(ADDRESS(23,6))</f>
        <v>6:13</v>
      </c>
      <c r="G6" s="14" t="s">
        <v>4</v>
      </c>
      <c r="H6" s="15" t="str">
        <f ca="1">INDIRECT(ADDRESS(31,6))&amp;":"&amp;INDIRECT(ADDRESS(31,7))</f>
        <v>13:4</v>
      </c>
      <c r="I6" s="15" t="str">
        <f ca="1">INDIRECT(ADDRESS(34,7))&amp;":"&amp;INDIRECT(ADDRESS(34,6))</f>
        <v>13:0</v>
      </c>
      <c r="J6" s="16" t="str">
        <f ca="1">INDIRECT(ADDRESS(18,6))&amp;":"&amp;INDIRECT(ADDRESS(18,7))</f>
        <v>10:13</v>
      </c>
      <c r="K6" s="55">
        <f ca="1">IF(COUNT(F7:J7)=0,"",COUNTIF(F7:J7,"&gt;0")+0.5*COUNTIF(F7:J7,0))</f>
        <v>2</v>
      </c>
      <c r="L6" s="11"/>
      <c r="M6" s="41">
        <v>3</v>
      </c>
    </row>
    <row r="7" spans="1:13" ht="21" x14ac:dyDescent="0.25">
      <c r="A7" s="1">
        <v>12</v>
      </c>
      <c r="B7" s="47"/>
      <c r="C7" s="51"/>
      <c r="D7" s="52"/>
      <c r="E7" s="53"/>
      <c r="F7" s="17">
        <f ca="1">IF(LEN(INDIRECT(ADDRESS(ROW()-1, COLUMN())))=1,"",INDIRECT(ADDRESS(23,7))-INDIRECT(ADDRESS(23,6)))</f>
        <v>-7</v>
      </c>
      <c r="G7" s="18" t="s">
        <v>4</v>
      </c>
      <c r="H7" s="11">
        <f ca="1">IF(LEN(INDIRECT(ADDRESS(ROW()-1, COLUMN())))=1,"",INDIRECT(ADDRESS(31,6))-INDIRECT(ADDRESS(31,7)))</f>
        <v>9</v>
      </c>
      <c r="I7" s="11">
        <f ca="1">IF(LEN(INDIRECT(ADDRESS(ROW()-1, COLUMN())))=1,"",INDIRECT(ADDRESS(34,7))-INDIRECT(ADDRESS(34,6)))</f>
        <v>13</v>
      </c>
      <c r="J7" s="12">
        <f ca="1">IF(LEN(INDIRECT(ADDRESS(ROW()-1, COLUMN())))=1,"",INDIRECT(ADDRESS(18,6))-INDIRECT(ADDRESS(18,7)))</f>
        <v>-3</v>
      </c>
      <c r="K7" s="55"/>
      <c r="L7" s="11">
        <f ca="1">IF(COUNT(F7:J7)=0,"",SUM(F7:J7))</f>
        <v>12</v>
      </c>
      <c r="M7" s="41"/>
    </row>
    <row r="8" spans="1:13" ht="21" x14ac:dyDescent="0.25">
      <c r="A8" s="1" t="s">
        <v>11</v>
      </c>
      <c r="B8" s="56">
        <v>3</v>
      </c>
      <c r="C8" s="51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Зимин</v>
      </c>
      <c r="D8" s="52"/>
      <c r="E8" s="53"/>
      <c r="F8" s="13" t="str">
        <f ca="1">INDIRECT(ADDRESS(26,6))&amp;":"&amp;INDIRECT(ADDRESS(26,7))</f>
        <v>8:13</v>
      </c>
      <c r="G8" s="15" t="str">
        <f ca="1">INDIRECT(ADDRESS(31,7))&amp;":"&amp;INDIRECT(ADDRESS(31,6))</f>
        <v>4:13</v>
      </c>
      <c r="H8" s="14" t="s">
        <v>4</v>
      </c>
      <c r="I8" s="15" t="str">
        <f ca="1">INDIRECT(ADDRESS(19,6))&amp;":"&amp;INDIRECT(ADDRESS(19,7))</f>
        <v>9:13</v>
      </c>
      <c r="J8" s="16" t="str">
        <f ca="1">INDIRECT(ADDRESS(22,7))&amp;":"&amp;INDIRECT(ADDRESS(22,6))</f>
        <v>10:13</v>
      </c>
      <c r="K8" s="55">
        <f ca="1">IF(COUNT(F9:J9)=0,"",COUNTIF(F9:J9,"&gt;0")+0.5*COUNTIF(F9:J9,0))</f>
        <v>0</v>
      </c>
      <c r="L8" s="11"/>
      <c r="M8" s="41">
        <v>5</v>
      </c>
    </row>
    <row r="9" spans="1:13" ht="21" x14ac:dyDescent="0.25">
      <c r="A9" s="1">
        <v>8</v>
      </c>
      <c r="B9" s="47"/>
      <c r="C9" s="51"/>
      <c r="D9" s="52"/>
      <c r="E9" s="53"/>
      <c r="F9" s="17">
        <f ca="1">IF(LEN(INDIRECT(ADDRESS(ROW()-1, COLUMN())))=1,"",INDIRECT(ADDRESS(26,6))-INDIRECT(ADDRESS(26,7)))</f>
        <v>-5</v>
      </c>
      <c r="G9" s="11">
        <f ca="1">IF(LEN(INDIRECT(ADDRESS(ROW()-1, COLUMN())))=1,"",INDIRECT(ADDRESS(31,7))-INDIRECT(ADDRESS(31,6)))</f>
        <v>-9</v>
      </c>
      <c r="H9" s="18" t="s">
        <v>4</v>
      </c>
      <c r="I9" s="11">
        <f ca="1">IF(LEN(INDIRECT(ADDRESS(ROW()-1, COLUMN())))=1,"",INDIRECT(ADDRESS(19,6))-INDIRECT(ADDRESS(19,7)))</f>
        <v>-4</v>
      </c>
      <c r="J9" s="12">
        <f ca="1">IF(LEN(INDIRECT(ADDRESS(ROW()-1, COLUMN())))=1,"",INDIRECT(ADDRESS(22,7))-INDIRECT(ADDRESS(22,6)))</f>
        <v>-3</v>
      </c>
      <c r="K9" s="55"/>
      <c r="L9" s="11">
        <f ca="1">IF(COUNT(F9:J9)=0,"",SUM(F9:J9))</f>
        <v>-21</v>
      </c>
      <c r="M9" s="41"/>
    </row>
    <row r="10" spans="1:13" ht="21" x14ac:dyDescent="0.25">
      <c r="A10" s="1" t="s">
        <v>11</v>
      </c>
      <c r="B10" s="56">
        <v>4</v>
      </c>
      <c r="C10" s="51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Минькач</v>
      </c>
      <c r="D10" s="52"/>
      <c r="E10" s="53"/>
      <c r="F10" s="13" t="str">
        <f ca="1">INDIRECT(ADDRESS(30,7))&amp;":"&amp;INDIRECT(ADDRESS(30,6))</f>
        <v>6:13</v>
      </c>
      <c r="G10" s="15" t="str">
        <f ca="1">INDIRECT(ADDRESS(34,6))&amp;":"&amp;INDIRECT(ADDRESS(34,7))</f>
        <v>0:13</v>
      </c>
      <c r="H10" s="15" t="str">
        <f ca="1">INDIRECT(ADDRESS(19,7))&amp;":"&amp;INDIRECT(ADDRESS(19,6))</f>
        <v>13:9</v>
      </c>
      <c r="I10" s="14" t="s">
        <v>4</v>
      </c>
      <c r="J10" s="16" t="str">
        <f ca="1">INDIRECT(ADDRESS(27,6))&amp;":"&amp;INDIRECT(ADDRESS(27,7))</f>
        <v>7:13</v>
      </c>
      <c r="K10" s="55">
        <f ca="1">IF(COUNT(F11:J11)=0,"",COUNTIF(F11:J11,"&gt;0")+0.5*COUNTIF(F11:J11,0))</f>
        <v>1</v>
      </c>
      <c r="L10" s="11"/>
      <c r="M10" s="41">
        <v>4</v>
      </c>
    </row>
    <row r="11" spans="1:13" ht="21" x14ac:dyDescent="0.25">
      <c r="A11" s="1">
        <v>16</v>
      </c>
      <c r="B11" s="47"/>
      <c r="C11" s="51"/>
      <c r="D11" s="52"/>
      <c r="E11" s="53"/>
      <c r="F11" s="17">
        <f ca="1">IF(LEN(INDIRECT(ADDRESS(ROW()-1, COLUMN())))=1,"",INDIRECT(ADDRESS(30,7))-INDIRECT(ADDRESS(30,6)))</f>
        <v>-7</v>
      </c>
      <c r="G11" s="11">
        <f ca="1">IF(LEN(INDIRECT(ADDRESS(ROW()-1, COLUMN())))=1,"",INDIRECT(ADDRESS(34,6))-INDIRECT(ADDRESS(34,7)))</f>
        <v>-13</v>
      </c>
      <c r="H11" s="11">
        <f ca="1">IF(LEN(INDIRECT(ADDRESS(ROW()-1, COLUMN())))=1,"",INDIRECT(ADDRESS(19,7))-INDIRECT(ADDRESS(19,6)))</f>
        <v>4</v>
      </c>
      <c r="I11" s="18" t="s">
        <v>4</v>
      </c>
      <c r="J11" s="12">
        <f ca="1">IF(LEN(INDIRECT(ADDRESS(ROW()-1, COLUMN())))=1,"",INDIRECT(ADDRESS(27,6))-INDIRECT(ADDRESS(27,7)))</f>
        <v>-6</v>
      </c>
      <c r="K11" s="55"/>
      <c r="L11" s="11">
        <f ca="1">IF(COUNT(F11:J11)=0,"",SUM(F11:J11))</f>
        <v>-22</v>
      </c>
      <c r="M11" s="41"/>
    </row>
    <row r="12" spans="1:13" ht="21" x14ac:dyDescent="0.25">
      <c r="A12" s="1" t="s">
        <v>11</v>
      </c>
      <c r="B12" s="56">
        <v>5</v>
      </c>
      <c r="C12" s="51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Зинкеев</v>
      </c>
      <c r="D12" s="52"/>
      <c r="E12" s="53"/>
      <c r="F12" s="13" t="str">
        <f ca="1">INDIRECT(ADDRESS(35,6))&amp;":"&amp;INDIRECT(ADDRESS(35,7))</f>
        <v>10:13</v>
      </c>
      <c r="G12" s="15" t="str">
        <f ca="1">INDIRECT(ADDRESS(18,7))&amp;":"&amp;INDIRECT(ADDRESS(18,6))</f>
        <v>13:10</v>
      </c>
      <c r="H12" s="15" t="str">
        <f ca="1">INDIRECT(ADDRESS(22,6))&amp;":"&amp;INDIRECT(ADDRESS(22,7))</f>
        <v>13:10</v>
      </c>
      <c r="I12" s="15" t="str">
        <f ca="1">INDIRECT(ADDRESS(27,7))&amp;":"&amp;INDIRECT(ADDRESS(27,6))</f>
        <v>13:7</v>
      </c>
      <c r="J12" s="19" t="s">
        <v>4</v>
      </c>
      <c r="K12" s="55">
        <f ca="1">IF(COUNT(F13:J13)=0,"",COUNTIF(F13:J13,"&gt;0")+0.5*COUNTIF(F13:J13,0))</f>
        <v>3</v>
      </c>
      <c r="L12" s="11"/>
      <c r="M12" s="41">
        <v>2</v>
      </c>
    </row>
    <row r="13" spans="1:13" ht="21.75" thickBot="1" x14ac:dyDescent="0.3">
      <c r="A13" s="1">
        <v>20</v>
      </c>
      <c r="B13" s="58"/>
      <c r="C13" s="59"/>
      <c r="D13" s="60"/>
      <c r="E13" s="61"/>
      <c r="F13" s="20">
        <f ca="1">IF(LEN(INDIRECT(ADDRESS(ROW()-1, COLUMN())))=1,"",INDIRECT(ADDRESS(35,6))-INDIRECT(ADDRESS(35,7)))</f>
        <v>-3</v>
      </c>
      <c r="G13" s="21">
        <f ca="1">IF(LEN(INDIRECT(ADDRESS(ROW()-1, COLUMN())))=1,"",INDIRECT(ADDRESS(18,7))-INDIRECT(ADDRESS(18,6)))</f>
        <v>3</v>
      </c>
      <c r="H13" s="21">
        <f ca="1">IF(LEN(INDIRECT(ADDRESS(ROW()-1, COLUMN())))=1,"",INDIRECT(ADDRESS(22,6))-INDIRECT(ADDRESS(22,7)))</f>
        <v>3</v>
      </c>
      <c r="I13" s="21">
        <f ca="1">IF(LEN(INDIRECT(ADDRESS(ROW()-1, COLUMN())))=1,"",INDIRECT(ADDRESS(27,7))-INDIRECT(ADDRESS(27,6)))</f>
        <v>6</v>
      </c>
      <c r="J13" s="22" t="s">
        <v>4</v>
      </c>
      <c r="K13" s="62"/>
      <c r="L13" s="21">
        <f ca="1">IF(COUNT(F13:J13)=0,"",SUM(F13:J13))</f>
        <v>9</v>
      </c>
      <c r="M13" s="63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2:13" ht="21.75" thickBot="1" x14ac:dyDescent="0.3">
      <c r="B17" s="57" t="s">
        <v>5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2:13" ht="19.5" thickBot="1" x14ac:dyDescent="0.3">
      <c r="B18" s="1">
        <v>2</v>
      </c>
      <c r="C18" s="64" t="str">
        <f ca="1">IF(ISBLANK(INDIRECT(ADDRESS(B18*2+2,3))),"",INDIRECT(ADDRESS(B18*2+2,3)))</f>
        <v>Кувакин</v>
      </c>
      <c r="D18" s="64"/>
      <c r="E18" s="65"/>
      <c r="F18" s="24">
        <v>10</v>
      </c>
      <c r="G18" s="25">
        <v>13</v>
      </c>
      <c r="H18" s="66" t="str">
        <f ca="1">IF(ISBLANK(INDIRECT(ADDRESS(K18*2+2,3))),"",INDIRECT(ADDRESS(K18*2+2,3)))</f>
        <v>Зинкеев</v>
      </c>
      <c r="I18" s="64"/>
      <c r="J18" s="64"/>
      <c r="K18" s="1">
        <v>5</v>
      </c>
      <c r="L18" s="26" t="s">
        <v>6</v>
      </c>
      <c r="M18" s="39">
        <v>13</v>
      </c>
    </row>
    <row r="19" spans="2:13" ht="19.5" thickBot="1" x14ac:dyDescent="0.3">
      <c r="B19" s="1">
        <v>3</v>
      </c>
      <c r="C19" s="64" t="str">
        <f ca="1">IF(ISBLANK(INDIRECT(ADDRESS(B19*2+2,3))),"",INDIRECT(ADDRESS(B19*2+2,3)))</f>
        <v>Зимин</v>
      </c>
      <c r="D19" s="64"/>
      <c r="E19" s="65"/>
      <c r="F19" s="24">
        <v>9</v>
      </c>
      <c r="G19" s="25">
        <v>13</v>
      </c>
      <c r="H19" s="66" t="str">
        <f ca="1">IF(ISBLANK(INDIRECT(ADDRESS(K19*2+2,3))),"",INDIRECT(ADDRESS(K19*2+2,3)))</f>
        <v>Минькач</v>
      </c>
      <c r="I19" s="64"/>
      <c r="J19" s="64"/>
      <c r="K19" s="1">
        <v>4</v>
      </c>
      <c r="L19" s="26" t="s">
        <v>6</v>
      </c>
      <c r="M19" s="39">
        <v>14</v>
      </c>
    </row>
    <row r="20" spans="2:13" x14ac:dyDescent="0.25">
      <c r="M20" s="1"/>
    </row>
    <row r="21" spans="2:13" ht="21.75" thickBot="1" x14ac:dyDescent="0.3">
      <c r="B21" s="57" t="s">
        <v>7</v>
      </c>
      <c r="C21" s="57"/>
      <c r="D21" s="57"/>
      <c r="E21" s="57"/>
      <c r="F21" s="57"/>
      <c r="G21" s="57"/>
      <c r="H21" s="57"/>
      <c r="I21" s="57"/>
      <c r="J21" s="57"/>
      <c r="K21" s="57"/>
      <c r="M21" s="1"/>
    </row>
    <row r="22" spans="2:13" ht="19.5" thickBot="1" x14ac:dyDescent="0.3">
      <c r="B22" s="1">
        <v>5</v>
      </c>
      <c r="C22" s="64" t="str">
        <f ca="1">IF(ISBLANK(INDIRECT(ADDRESS(B22*2+2,3))),"",INDIRECT(ADDRESS(B22*2+2,3)))</f>
        <v>Зинкеев</v>
      </c>
      <c r="D22" s="64"/>
      <c r="E22" s="65"/>
      <c r="F22" s="24">
        <v>13</v>
      </c>
      <c r="G22" s="25">
        <v>10</v>
      </c>
      <c r="H22" s="66" t="str">
        <f ca="1">IF(ISBLANK(INDIRECT(ADDRESS(K22*2+2,3))),"",INDIRECT(ADDRESS(K22*2+2,3)))</f>
        <v>Зимин</v>
      </c>
      <c r="I22" s="64"/>
      <c r="J22" s="64"/>
      <c r="K22" s="1">
        <v>3</v>
      </c>
      <c r="L22" s="26" t="s">
        <v>6</v>
      </c>
      <c r="M22" s="39">
        <v>3</v>
      </c>
    </row>
    <row r="23" spans="2:13" ht="19.5" thickBot="1" x14ac:dyDescent="0.3">
      <c r="B23" s="1">
        <v>1</v>
      </c>
      <c r="C23" s="64" t="str">
        <f ca="1">IF(ISBLANK(INDIRECT(ADDRESS(B23*2+2,3))),"",INDIRECT(ADDRESS(B23*2+2,3)))</f>
        <v>Северов</v>
      </c>
      <c r="D23" s="64"/>
      <c r="E23" s="65"/>
      <c r="F23" s="24">
        <v>13</v>
      </c>
      <c r="G23" s="25">
        <v>6</v>
      </c>
      <c r="H23" s="66" t="str">
        <f ca="1">IF(ISBLANK(INDIRECT(ADDRESS(K23*2+2,3))),"",INDIRECT(ADDRESS(K23*2+2,3)))</f>
        <v>Кувакин</v>
      </c>
      <c r="I23" s="64"/>
      <c r="J23" s="64"/>
      <c r="K23" s="1">
        <v>2</v>
      </c>
      <c r="L23" s="26" t="s">
        <v>6</v>
      </c>
      <c r="M23" s="39">
        <v>4</v>
      </c>
    </row>
    <row r="24" spans="2:13" x14ac:dyDescent="0.25">
      <c r="M24" s="1"/>
    </row>
    <row r="25" spans="2:13" ht="21.75" thickBot="1" x14ac:dyDescent="0.3">
      <c r="B25" s="57" t="s">
        <v>8</v>
      </c>
      <c r="C25" s="57"/>
      <c r="D25" s="57"/>
      <c r="E25" s="57"/>
      <c r="F25" s="57"/>
      <c r="G25" s="57"/>
      <c r="H25" s="57"/>
      <c r="I25" s="57"/>
      <c r="J25" s="57"/>
      <c r="K25" s="57"/>
      <c r="M25" s="1"/>
    </row>
    <row r="26" spans="2:13" ht="19.5" thickBot="1" x14ac:dyDescent="0.3">
      <c r="B26" s="1">
        <v>3</v>
      </c>
      <c r="C26" s="64" t="str">
        <f ca="1">IF(ISBLANK(INDIRECT(ADDRESS(B26*2+2,3))),"",INDIRECT(ADDRESS(B26*2+2,3)))</f>
        <v>Зимин</v>
      </c>
      <c r="D26" s="64"/>
      <c r="E26" s="65"/>
      <c r="F26" s="24">
        <v>8</v>
      </c>
      <c r="G26" s="25">
        <v>13</v>
      </c>
      <c r="H26" s="66" t="str">
        <f ca="1">IF(ISBLANK(INDIRECT(ADDRESS(K26*2+2,3))),"",INDIRECT(ADDRESS(K26*2+2,3)))</f>
        <v>Северов</v>
      </c>
      <c r="I26" s="64"/>
      <c r="J26" s="64"/>
      <c r="K26" s="1">
        <v>1</v>
      </c>
      <c r="L26" s="26" t="s">
        <v>6</v>
      </c>
      <c r="M26" s="39">
        <v>7</v>
      </c>
    </row>
    <row r="27" spans="2:13" ht="19.5" thickBot="1" x14ac:dyDescent="0.3">
      <c r="B27" s="1">
        <v>4</v>
      </c>
      <c r="C27" s="64" t="str">
        <f ca="1">IF(ISBLANK(INDIRECT(ADDRESS(B27*2+2,3))),"",INDIRECT(ADDRESS(B27*2+2,3)))</f>
        <v>Минькач</v>
      </c>
      <c r="D27" s="64"/>
      <c r="E27" s="65"/>
      <c r="F27" s="24">
        <v>7</v>
      </c>
      <c r="G27" s="25">
        <v>13</v>
      </c>
      <c r="H27" s="66" t="str">
        <f ca="1">IF(ISBLANK(INDIRECT(ADDRESS(K27*2+2,3))),"",INDIRECT(ADDRESS(K27*2+2,3)))</f>
        <v>Зинкеев</v>
      </c>
      <c r="I27" s="64"/>
      <c r="J27" s="64"/>
      <c r="K27" s="1">
        <v>5</v>
      </c>
      <c r="L27" s="26" t="s">
        <v>6</v>
      </c>
      <c r="M27" s="39">
        <v>8</v>
      </c>
    </row>
    <row r="28" spans="2:13" x14ac:dyDescent="0.25">
      <c r="M28" s="1"/>
    </row>
    <row r="29" spans="2:13" ht="21.75" thickBot="1" x14ac:dyDescent="0.3">
      <c r="B29" s="57" t="s">
        <v>9</v>
      </c>
      <c r="C29" s="57"/>
      <c r="D29" s="57"/>
      <c r="E29" s="57"/>
      <c r="F29" s="57"/>
      <c r="G29" s="57"/>
      <c r="H29" s="57"/>
      <c r="I29" s="57"/>
      <c r="J29" s="57"/>
      <c r="K29" s="57"/>
      <c r="M29" s="1"/>
    </row>
    <row r="30" spans="2:13" ht="19.5" thickBot="1" x14ac:dyDescent="0.3">
      <c r="B30" s="1">
        <v>1</v>
      </c>
      <c r="C30" s="64" t="str">
        <f ca="1">IF(ISBLANK(INDIRECT(ADDRESS(B30*2+2,3))),"",INDIRECT(ADDRESS(B30*2+2,3)))</f>
        <v>Северов</v>
      </c>
      <c r="D30" s="64"/>
      <c r="E30" s="65"/>
      <c r="F30" s="24">
        <v>13</v>
      </c>
      <c r="G30" s="25">
        <v>6</v>
      </c>
      <c r="H30" s="66" t="str">
        <f ca="1">IF(ISBLANK(INDIRECT(ADDRESS(K30*2+2,3))),"",INDIRECT(ADDRESS(K30*2+2,3)))</f>
        <v>Минькач</v>
      </c>
      <c r="I30" s="64"/>
      <c r="J30" s="64"/>
      <c r="K30" s="1">
        <v>4</v>
      </c>
      <c r="L30" s="26" t="s">
        <v>6</v>
      </c>
      <c r="M30" s="39">
        <v>11</v>
      </c>
    </row>
    <row r="31" spans="2:13" ht="19.5" thickBot="1" x14ac:dyDescent="0.3">
      <c r="B31" s="1">
        <v>2</v>
      </c>
      <c r="C31" s="64" t="str">
        <f ca="1">IF(ISBLANK(INDIRECT(ADDRESS(B31*2+2,3))),"",INDIRECT(ADDRESS(B31*2+2,3)))</f>
        <v>Кувакин</v>
      </c>
      <c r="D31" s="64"/>
      <c r="E31" s="65"/>
      <c r="F31" s="24">
        <v>13</v>
      </c>
      <c r="G31" s="25">
        <v>4</v>
      </c>
      <c r="H31" s="66" t="str">
        <f ca="1">IF(ISBLANK(INDIRECT(ADDRESS(K31*2+2,3))),"",INDIRECT(ADDRESS(K31*2+2,3)))</f>
        <v>Зимин</v>
      </c>
      <c r="I31" s="64"/>
      <c r="J31" s="64"/>
      <c r="K31" s="1">
        <v>3</v>
      </c>
      <c r="L31" s="26" t="s">
        <v>6</v>
      </c>
      <c r="M31" s="39">
        <v>12</v>
      </c>
    </row>
    <row r="32" spans="2:13" x14ac:dyDescent="0.25">
      <c r="M32" s="1"/>
    </row>
    <row r="33" spans="2:13" ht="21.75" thickBot="1" x14ac:dyDescent="0.3">
      <c r="B33" s="57" t="s">
        <v>10</v>
      </c>
      <c r="C33" s="57"/>
      <c r="D33" s="57"/>
      <c r="E33" s="57"/>
      <c r="F33" s="57"/>
      <c r="G33" s="57"/>
      <c r="H33" s="57"/>
      <c r="I33" s="57"/>
      <c r="J33" s="57"/>
      <c r="K33" s="57"/>
      <c r="M33" s="1"/>
    </row>
    <row r="34" spans="2:13" ht="19.5" thickBot="1" x14ac:dyDescent="0.3">
      <c r="B34" s="1">
        <v>4</v>
      </c>
      <c r="C34" s="64" t="str">
        <f ca="1">IF(ISBLANK(INDIRECT(ADDRESS(B34*2+2,3))),"",INDIRECT(ADDRESS(B34*2+2,3)))</f>
        <v>Минькач</v>
      </c>
      <c r="D34" s="64"/>
      <c r="E34" s="65"/>
      <c r="F34" s="24">
        <v>0</v>
      </c>
      <c r="G34" s="25">
        <v>13</v>
      </c>
      <c r="H34" s="66" t="str">
        <f ca="1">IF(ISBLANK(INDIRECT(ADDRESS(K34*2+2,3))),"",INDIRECT(ADDRESS(K34*2+2,3)))</f>
        <v>Кувакин</v>
      </c>
      <c r="I34" s="64"/>
      <c r="J34" s="64"/>
      <c r="K34" s="1">
        <v>2</v>
      </c>
      <c r="L34" s="26" t="s">
        <v>6</v>
      </c>
      <c r="M34" s="39">
        <v>1</v>
      </c>
    </row>
    <row r="35" spans="2:13" ht="19.5" thickBot="1" x14ac:dyDescent="0.3">
      <c r="B35" s="1">
        <v>5</v>
      </c>
      <c r="C35" s="64" t="str">
        <f ca="1">IF(ISBLANK(INDIRECT(ADDRESS(B35*2+2,3))),"",INDIRECT(ADDRESS(B35*2+2,3)))</f>
        <v>Зинкеев</v>
      </c>
      <c r="D35" s="64"/>
      <c r="E35" s="65"/>
      <c r="F35" s="24">
        <v>10</v>
      </c>
      <c r="G35" s="25">
        <v>13</v>
      </c>
      <c r="H35" s="66" t="str">
        <f ca="1">IF(ISBLANK(INDIRECT(ADDRESS(K35*2+2,3))),"",INDIRECT(ADDRESS(K35*2+2,3)))</f>
        <v>Северов</v>
      </c>
      <c r="I35" s="64"/>
      <c r="J35" s="64"/>
      <c r="K35" s="1">
        <v>1</v>
      </c>
      <c r="L35" s="26" t="s">
        <v>6</v>
      </c>
      <c r="M35" s="39">
        <v>2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42"/>
  <sheetViews>
    <sheetView topLeftCell="A4" workbookViewId="0">
      <selection activeCell="N14" sqref="N14:N15"/>
    </sheetView>
  </sheetViews>
  <sheetFormatPr defaultRowHeight="15" x14ac:dyDescent="0.25"/>
  <cols>
    <col min="1" max="1" width="4" customWidth="1"/>
    <col min="2" max="12" width="10.28515625" customWidth="1"/>
    <col min="13" max="13" width="10.28515625" style="31" customWidth="1"/>
    <col min="14" max="15" width="10.28515625" customWidth="1"/>
  </cols>
  <sheetData>
    <row r="1" spans="1:14" ht="59.25" customHeight="1" x14ac:dyDescent="0.25">
      <c r="B1" s="42" t="s">
        <v>16</v>
      </c>
      <c r="C1" s="42"/>
      <c r="D1" s="42"/>
      <c r="E1" s="42"/>
      <c r="F1" s="42"/>
      <c r="G1" s="42"/>
      <c r="H1" s="42"/>
      <c r="I1" s="42"/>
      <c r="J1" s="42"/>
      <c r="K1" s="42"/>
      <c r="M1"/>
    </row>
    <row r="2" spans="1:14" ht="15.75" thickBot="1" x14ac:dyDescent="0.3">
      <c r="M2"/>
    </row>
    <row r="3" spans="1:14" ht="30" customHeight="1" thickBot="1" x14ac:dyDescent="0.3">
      <c r="B3" s="2"/>
      <c r="C3" s="43" t="s">
        <v>0</v>
      </c>
      <c r="D3" s="44"/>
      <c r="E3" s="45"/>
      <c r="F3" s="3">
        <v>1</v>
      </c>
      <c r="G3" s="3">
        <v>2</v>
      </c>
      <c r="H3" s="3">
        <v>3</v>
      </c>
      <c r="I3" s="4">
        <v>4</v>
      </c>
      <c r="J3" s="4">
        <v>5</v>
      </c>
      <c r="K3" s="4">
        <v>6</v>
      </c>
      <c r="L3" s="28" t="s">
        <v>1</v>
      </c>
      <c r="M3" s="3" t="s">
        <v>2</v>
      </c>
      <c r="N3" s="29" t="s">
        <v>3</v>
      </c>
    </row>
    <row r="4" spans="1:14" ht="24" customHeight="1" x14ac:dyDescent="0.25">
      <c r="A4" s="1" t="s">
        <v>11</v>
      </c>
      <c r="B4" s="46">
        <v>1</v>
      </c>
      <c r="C4" s="48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Федотов</v>
      </c>
      <c r="D4" s="49"/>
      <c r="E4" s="50"/>
      <c r="F4" s="6" t="s">
        <v>4</v>
      </c>
      <c r="G4" s="7" t="str">
        <f ca="1">INDIRECT(ADDRESS(27,6))&amp;":"&amp;INDIRECT(ADDRESS(27,7))</f>
        <v>13:11</v>
      </c>
      <c r="H4" s="7" t="str">
        <f ca="1">INDIRECT(ADDRESS(31,7))&amp;":"&amp;INDIRECT(ADDRESS(31,6))</f>
        <v>13:5</v>
      </c>
      <c r="I4" s="7" t="str">
        <f ca="1">INDIRECT(ADDRESS(36,6))&amp;":"&amp;INDIRECT(ADDRESS(36,7))</f>
        <v>13:4</v>
      </c>
      <c r="J4" s="7" t="str">
        <f ca="1">INDIRECT(ADDRESS(42,7))&amp;":"&amp;INDIRECT(ADDRESS(42,6))</f>
        <v>13:1</v>
      </c>
      <c r="K4" s="8" t="str">
        <f ca="1">INDIRECT(ADDRESS(20,6))&amp;":"&amp;INDIRECT(ADDRESS(20,7))</f>
        <v>13:9</v>
      </c>
      <c r="L4" s="69">
        <f ca="1">IF(COUNT(F5:K5)=0,"",COUNTIF(F5:K5,"&gt;0")+0.5*COUNTIF(F5:K5,0))</f>
        <v>5</v>
      </c>
      <c r="M4" s="9"/>
      <c r="N4" s="67">
        <v>1</v>
      </c>
    </row>
    <row r="5" spans="1:14" ht="24" customHeight="1" x14ac:dyDescent="0.25">
      <c r="A5" s="1">
        <v>1</v>
      </c>
      <c r="B5" s="47"/>
      <c r="C5" s="51"/>
      <c r="D5" s="52"/>
      <c r="E5" s="53"/>
      <c r="F5" s="10" t="s">
        <v>4</v>
      </c>
      <c r="G5" s="11">
        <f ca="1">IF(LEN(INDIRECT(ADDRESS(ROW()-1, COLUMN())))=1,"",INDIRECT(ADDRESS(27,6))-INDIRECT(ADDRESS(27,7)))</f>
        <v>2</v>
      </c>
      <c r="H5" s="11">
        <f ca="1">IF(LEN(INDIRECT(ADDRESS(ROW()-1, COLUMN())))=1,"",INDIRECT(ADDRESS(31,7))-INDIRECT(ADDRESS(31,6)))</f>
        <v>8</v>
      </c>
      <c r="I5" s="11">
        <f ca="1">IF(LEN(INDIRECT(ADDRESS(ROW()-1, COLUMN())))=1,"",INDIRECT(ADDRESS(36,6))-INDIRECT(ADDRESS(36,7)))</f>
        <v>9</v>
      </c>
      <c r="J5" s="11">
        <f ca="1">IF(LEN(INDIRECT(ADDRESS(ROW()-1, COLUMN())))=1,"",INDIRECT(ADDRESS(42,7))-INDIRECT(ADDRESS(42,6)))</f>
        <v>12</v>
      </c>
      <c r="K5" s="12">
        <f ca="1">IF(LEN(INDIRECT(ADDRESS(ROW()-1, COLUMN())))=1,"",INDIRECT(ADDRESS(20,6))-INDIRECT(ADDRESS(20,7)))</f>
        <v>4</v>
      </c>
      <c r="L5" s="70"/>
      <c r="M5" s="11">
        <f ca="1">IF(COUNT(F5:K5)=0,"",SUM(F5:K5))</f>
        <v>35</v>
      </c>
      <c r="N5" s="68"/>
    </row>
    <row r="6" spans="1:14" ht="24" customHeight="1" x14ac:dyDescent="0.25">
      <c r="A6" s="1" t="s">
        <v>11</v>
      </c>
      <c r="B6" s="56">
        <v>2</v>
      </c>
      <c r="C6" s="51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 xml:space="preserve"> Зорро</v>
      </c>
      <c r="D6" s="52"/>
      <c r="E6" s="53"/>
      <c r="F6" s="13" t="str">
        <f ca="1">INDIRECT(ADDRESS(27,7))&amp;":"&amp;INDIRECT(ADDRESS(27,6))</f>
        <v>11:13</v>
      </c>
      <c r="G6" s="14" t="s">
        <v>4</v>
      </c>
      <c r="H6" s="15" t="str">
        <f ca="1">INDIRECT(ADDRESS(37,6))&amp;":"&amp;INDIRECT(ADDRESS(37,7))</f>
        <v>13:1</v>
      </c>
      <c r="I6" s="15" t="str">
        <f ca="1">INDIRECT(ADDRESS(41,7))&amp;":"&amp;INDIRECT(ADDRESS(41,6))</f>
        <v>13:7</v>
      </c>
      <c r="J6" s="15" t="str">
        <f ca="1">INDIRECT(ADDRESS(21,6))&amp;":"&amp;INDIRECT(ADDRESS(21,7))</f>
        <v>13:8</v>
      </c>
      <c r="K6" s="16" t="str">
        <f ca="1">INDIRECT(ADDRESS(30,6))&amp;":"&amp;INDIRECT(ADDRESS(30,7))</f>
        <v>13:4</v>
      </c>
      <c r="L6" s="70">
        <f ca="1">IF(COUNT(F7:K7)=0,"",COUNTIF(F7:K7,"&gt;0")+0.5*COUNTIF(F7:K7,0))</f>
        <v>4</v>
      </c>
      <c r="M6" s="11"/>
      <c r="N6" s="71">
        <v>2</v>
      </c>
    </row>
    <row r="7" spans="1:14" ht="24" customHeight="1" x14ac:dyDescent="0.25">
      <c r="A7" s="1">
        <v>9</v>
      </c>
      <c r="B7" s="47"/>
      <c r="C7" s="51"/>
      <c r="D7" s="52"/>
      <c r="E7" s="53"/>
      <c r="F7" s="17">
        <f ca="1">IF(LEN(INDIRECT(ADDRESS(ROW()-1, COLUMN())))=1,"",INDIRECT(ADDRESS(27,7))-INDIRECT(ADDRESS(27,6)))</f>
        <v>-2</v>
      </c>
      <c r="G7" s="18" t="s">
        <v>4</v>
      </c>
      <c r="H7" s="11">
        <f ca="1">IF(LEN(INDIRECT(ADDRESS(ROW()-1, COLUMN())))=1,"",INDIRECT(ADDRESS(37,6))-INDIRECT(ADDRESS(37,7)))</f>
        <v>12</v>
      </c>
      <c r="I7" s="11">
        <f ca="1">IF(LEN(INDIRECT(ADDRESS(ROW()-1, COLUMN())))=1,"",INDIRECT(ADDRESS(41,7))-INDIRECT(ADDRESS(41,6)))</f>
        <v>6</v>
      </c>
      <c r="J7" s="11">
        <f ca="1">IF(LEN(INDIRECT(ADDRESS(ROW()-1, COLUMN())))=1,"",INDIRECT(ADDRESS(21,6))-INDIRECT(ADDRESS(21,7)))</f>
        <v>5</v>
      </c>
      <c r="K7" s="12">
        <f ca="1">IF(LEN(INDIRECT(ADDRESS(ROW()-1, COLUMN())))=1,"",INDIRECT(ADDRESS(30,6))-INDIRECT(ADDRESS(30,7)))</f>
        <v>9</v>
      </c>
      <c r="L7" s="70"/>
      <c r="M7" s="11">
        <f ca="1">IF(COUNT(F7:K7)=0,"",SUM(F7:K7))</f>
        <v>30</v>
      </c>
      <c r="N7" s="68"/>
    </row>
    <row r="8" spans="1:14" ht="24" customHeight="1" x14ac:dyDescent="0.25">
      <c r="A8" s="1" t="s">
        <v>11</v>
      </c>
      <c r="B8" s="56">
        <v>3</v>
      </c>
      <c r="C8" s="51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 xml:space="preserve"> Смирнов</v>
      </c>
      <c r="D8" s="52"/>
      <c r="E8" s="53"/>
      <c r="F8" s="13" t="str">
        <f ca="1">INDIRECT(ADDRESS(31,6))&amp;":"&amp;INDIRECT(ADDRESS(31,7))</f>
        <v>5:13</v>
      </c>
      <c r="G8" s="15" t="str">
        <f ca="1">INDIRECT(ADDRESS(37,7))&amp;":"&amp;INDIRECT(ADDRESS(37,6))</f>
        <v>1:13</v>
      </c>
      <c r="H8" s="14" t="s">
        <v>4</v>
      </c>
      <c r="I8" s="15" t="str">
        <f ca="1">INDIRECT(ADDRESS(22,6))&amp;":"&amp;INDIRECT(ADDRESS(22,7))</f>
        <v>13:5</v>
      </c>
      <c r="J8" s="15" t="str">
        <f ca="1">INDIRECT(ADDRESS(26,7))&amp;":"&amp;INDIRECT(ADDRESS(26,6))</f>
        <v>11:13</v>
      </c>
      <c r="K8" s="16" t="str">
        <f ca="1">INDIRECT(ADDRESS(40,6))&amp;":"&amp;INDIRECT(ADDRESS(40,7))</f>
        <v>11:13</v>
      </c>
      <c r="L8" s="70">
        <f ca="1">IF(COUNT(F9:K9)=0,"",COUNTIF(F9:K9,"&gt;0")+0.5*COUNTIF(F9:K9,0))</f>
        <v>1</v>
      </c>
      <c r="M8" s="11"/>
      <c r="N8" s="71">
        <v>5</v>
      </c>
    </row>
    <row r="9" spans="1:14" ht="24" customHeight="1" x14ac:dyDescent="0.25">
      <c r="A9" s="1">
        <v>5</v>
      </c>
      <c r="B9" s="47"/>
      <c r="C9" s="51"/>
      <c r="D9" s="52"/>
      <c r="E9" s="53"/>
      <c r="F9" s="17">
        <f ca="1">IF(LEN(INDIRECT(ADDRESS(ROW()-1, COLUMN())))=1,"",INDIRECT(ADDRESS(31,6))-INDIRECT(ADDRESS(31,7)))</f>
        <v>-8</v>
      </c>
      <c r="G9" s="11">
        <f ca="1">IF(LEN(INDIRECT(ADDRESS(ROW()-1, COLUMN())))=1,"",INDIRECT(ADDRESS(37,7))-INDIRECT(ADDRESS(37,6)))</f>
        <v>-12</v>
      </c>
      <c r="H9" s="18" t="s">
        <v>4</v>
      </c>
      <c r="I9" s="11">
        <f ca="1">IF(LEN(INDIRECT(ADDRESS(ROW()-1, COLUMN())))=1,"",INDIRECT(ADDRESS(22,6))-INDIRECT(ADDRESS(22,7)))</f>
        <v>8</v>
      </c>
      <c r="J9" s="11">
        <f ca="1">IF(LEN(INDIRECT(ADDRESS(ROW()-1, COLUMN())))=1,"",INDIRECT(ADDRESS(26,7))-INDIRECT(ADDRESS(26,6)))</f>
        <v>-2</v>
      </c>
      <c r="K9" s="12">
        <f ca="1">IF(LEN(INDIRECT(ADDRESS(ROW()-1, COLUMN())))=1,"",INDIRECT(ADDRESS(40,6))-INDIRECT(ADDRESS(40,7)))</f>
        <v>-2</v>
      </c>
      <c r="L9" s="70"/>
      <c r="M9" s="11">
        <f ca="1">IF(COUNT(F9:K9)=0,"",SUM(F9:K9))</f>
        <v>-16</v>
      </c>
      <c r="N9" s="68"/>
    </row>
    <row r="10" spans="1:14" ht="24" customHeight="1" x14ac:dyDescent="0.25">
      <c r="A10" s="1" t="s">
        <v>11</v>
      </c>
      <c r="B10" s="56">
        <v>4</v>
      </c>
      <c r="C10" s="51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Манукян</v>
      </c>
      <c r="D10" s="52"/>
      <c r="E10" s="53"/>
      <c r="F10" s="13" t="str">
        <f ca="1">INDIRECT(ADDRESS(36,7))&amp;":"&amp;INDIRECT(ADDRESS(36,6))</f>
        <v>4:13</v>
      </c>
      <c r="G10" s="15" t="str">
        <f ca="1">INDIRECT(ADDRESS(41,6))&amp;":"&amp;INDIRECT(ADDRESS(41,7))</f>
        <v>7:13</v>
      </c>
      <c r="H10" s="15" t="str">
        <f ca="1">INDIRECT(ADDRESS(22,7))&amp;":"&amp;INDIRECT(ADDRESS(22,6))</f>
        <v>5:13</v>
      </c>
      <c r="I10" s="14" t="s">
        <v>4</v>
      </c>
      <c r="J10" s="15" t="str">
        <f ca="1">INDIRECT(ADDRESS(32,6))&amp;":"&amp;INDIRECT(ADDRESS(32,7))</f>
        <v>4:13</v>
      </c>
      <c r="K10" s="16" t="str">
        <f ca="1">INDIRECT(ADDRESS(25,7))&amp;":"&amp;INDIRECT(ADDRESS(25,6))</f>
        <v>12:13</v>
      </c>
      <c r="L10" s="70">
        <f ca="1">IF(COUNT(F11:K11)=0,"",COUNTIF(F11:K11,"&gt;0")+0.5*COUNTIF(F11:K11,0))</f>
        <v>0</v>
      </c>
      <c r="M10" s="11"/>
      <c r="N10" s="71">
        <v>6</v>
      </c>
    </row>
    <row r="11" spans="1:14" ht="24" customHeight="1" x14ac:dyDescent="0.25">
      <c r="A11" s="1">
        <v>13</v>
      </c>
      <c r="B11" s="47"/>
      <c r="C11" s="51"/>
      <c r="D11" s="52"/>
      <c r="E11" s="53"/>
      <c r="F11" s="17">
        <f ca="1">IF(LEN(INDIRECT(ADDRESS(ROW()-1, COLUMN())))=1,"",INDIRECT(ADDRESS(36,7))-INDIRECT(ADDRESS(36,6)))</f>
        <v>-9</v>
      </c>
      <c r="G11" s="11">
        <f ca="1">IF(LEN(INDIRECT(ADDRESS(ROW()-1, COLUMN())))=1,"",INDIRECT(ADDRESS(41,6))-INDIRECT(ADDRESS(41,7)))</f>
        <v>-6</v>
      </c>
      <c r="H11" s="11">
        <f ca="1">IF(LEN(INDIRECT(ADDRESS(ROW()-1, COLUMN())))=1,"",INDIRECT(ADDRESS(22,7))-INDIRECT(ADDRESS(22,6)))</f>
        <v>-8</v>
      </c>
      <c r="I11" s="18" t="s">
        <v>4</v>
      </c>
      <c r="J11" s="11">
        <f ca="1">IF(LEN(INDIRECT(ADDRESS(ROW()-1, COLUMN())))=1,"",INDIRECT(ADDRESS(32,6))-INDIRECT(ADDRESS(32,7)))</f>
        <v>-9</v>
      </c>
      <c r="K11" s="12">
        <f ca="1">IF(LEN(INDIRECT(ADDRESS(ROW()-1, COLUMN())))=1,"",INDIRECT(ADDRESS(25,7))-INDIRECT(ADDRESS(25,6)))</f>
        <v>-1</v>
      </c>
      <c r="L11" s="70"/>
      <c r="M11" s="11">
        <f ca="1">IF(COUNT(F11:K11)=0,"",SUM(F11:K11))</f>
        <v>-33</v>
      </c>
      <c r="N11" s="68"/>
    </row>
    <row r="12" spans="1:14" ht="24" customHeight="1" x14ac:dyDescent="0.25">
      <c r="A12" s="1" t="s">
        <v>11</v>
      </c>
      <c r="B12" s="56">
        <v>5</v>
      </c>
      <c r="C12" s="51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Домбровский С</v>
      </c>
      <c r="D12" s="52"/>
      <c r="E12" s="53"/>
      <c r="F12" s="13" t="str">
        <f ca="1">INDIRECT(ADDRESS(42,6))&amp;":"&amp;INDIRECT(ADDRESS(42,7))</f>
        <v>1:13</v>
      </c>
      <c r="G12" s="15" t="str">
        <f ca="1">INDIRECT(ADDRESS(21,7))&amp;":"&amp;INDIRECT(ADDRESS(21,6))</f>
        <v>8:13</v>
      </c>
      <c r="H12" s="15" t="str">
        <f ca="1">INDIRECT(ADDRESS(26,6))&amp;":"&amp;INDIRECT(ADDRESS(26,7))</f>
        <v>13:11</v>
      </c>
      <c r="I12" s="15" t="str">
        <f ca="1">INDIRECT(ADDRESS(32,7))&amp;":"&amp;INDIRECT(ADDRESS(32,6))</f>
        <v>13:4</v>
      </c>
      <c r="J12" s="14" t="s">
        <v>4</v>
      </c>
      <c r="K12" s="16" t="str">
        <f ca="1">INDIRECT(ADDRESS(35,7))&amp;":"&amp;INDIRECT(ADDRESS(35,6))</f>
        <v>10:11</v>
      </c>
      <c r="L12" s="70">
        <f ca="1">IF(COUNT(F13:K13)=0,"",COUNTIF(F13:K13,"&gt;0")+0.5*COUNTIF(F13:K13,0))</f>
        <v>2</v>
      </c>
      <c r="M12" s="11"/>
      <c r="N12" s="71">
        <v>4</v>
      </c>
    </row>
    <row r="13" spans="1:14" ht="24" customHeight="1" x14ac:dyDescent="0.25">
      <c r="A13" s="1">
        <v>17</v>
      </c>
      <c r="B13" s="47"/>
      <c r="C13" s="51"/>
      <c r="D13" s="52"/>
      <c r="E13" s="53"/>
      <c r="F13" s="17">
        <f ca="1">IF(LEN(INDIRECT(ADDRESS(ROW()-1, COLUMN())))=1,"",INDIRECT(ADDRESS(42,6))-INDIRECT(ADDRESS(42,7)))</f>
        <v>-12</v>
      </c>
      <c r="G13" s="11">
        <f ca="1">IF(LEN(INDIRECT(ADDRESS(ROW()-1, COLUMN())))=1,"",INDIRECT(ADDRESS(21,7))-INDIRECT(ADDRESS(21,6)))</f>
        <v>-5</v>
      </c>
      <c r="H13" s="11">
        <f ca="1">IF(LEN(INDIRECT(ADDRESS(ROW()-1, COLUMN())))=1,"",INDIRECT(ADDRESS(26,6))-INDIRECT(ADDRESS(26,7)))</f>
        <v>2</v>
      </c>
      <c r="I13" s="11">
        <f ca="1">IF(LEN(INDIRECT(ADDRESS(ROW()-1, COLUMN())))=1,"",INDIRECT(ADDRESS(32,7))-INDIRECT(ADDRESS(32,6)))</f>
        <v>9</v>
      </c>
      <c r="J13" s="18" t="s">
        <v>4</v>
      </c>
      <c r="K13" s="12">
        <f ca="1">IF(LEN(INDIRECT(ADDRESS(ROW()-1, COLUMN())))=1,"",INDIRECT(ADDRESS(35,7))-INDIRECT(ADDRESS(35,6)))</f>
        <v>-1</v>
      </c>
      <c r="L13" s="70"/>
      <c r="M13" s="11">
        <f ca="1">IF(COUNT(F13:K13)=0,"",SUM(F13:K13))</f>
        <v>-7</v>
      </c>
      <c r="N13" s="68"/>
    </row>
    <row r="14" spans="1:14" ht="24" customHeight="1" x14ac:dyDescent="0.25">
      <c r="A14" s="1" t="s">
        <v>11</v>
      </c>
      <c r="B14" s="56">
        <v>6</v>
      </c>
      <c r="C14" s="51" t="str">
        <f ca="1">IF(LEFT(A14,1)="X",IFERROR(INDIRECT(ADDRESS(MATCH(A15,OFFSET(INDIRECT(ADDRESS(1,3,,,A14)),0,0,200,1),0),2,,,A14)),""),IFERROR(INDIRECT(ADDRESS(MATCH(A15,OFFSET(INDIRECT(ADDRESS(3,2,,,A14)),1,6+MAX(OFFSET(INDIRECT(ADDRESS(3,2,,,A14)),0,0,1,20)),2*MAX(OFFSET(INDIRECT(ADDRESS(3,2,,,A14)),0,0,1,20)),1),0)+3,3,,,A14)),""))</f>
        <v>Захаров</v>
      </c>
      <c r="D14" s="52"/>
      <c r="E14" s="53"/>
      <c r="F14" s="13" t="str">
        <f ca="1">INDIRECT(ADDRESS(20,7))&amp;":"&amp;INDIRECT(ADDRESS(20,6))</f>
        <v>9:13</v>
      </c>
      <c r="G14" s="15" t="str">
        <f ca="1">INDIRECT(ADDRESS(30,7))&amp;":"&amp;INDIRECT(ADDRESS(30,6))</f>
        <v>4:13</v>
      </c>
      <c r="H14" s="15" t="str">
        <f ca="1">INDIRECT(ADDRESS(40,7))&amp;":"&amp;INDIRECT(ADDRESS(40,6))</f>
        <v>13:11</v>
      </c>
      <c r="I14" s="15" t="str">
        <f ca="1">INDIRECT(ADDRESS(25,6))&amp;":"&amp;INDIRECT(ADDRESS(25,7))</f>
        <v>13:12</v>
      </c>
      <c r="J14" s="15" t="str">
        <f ca="1">INDIRECT(ADDRESS(35,6))&amp;":"&amp;INDIRECT(ADDRESS(35,7))</f>
        <v>11:10</v>
      </c>
      <c r="K14" s="19" t="s">
        <v>4</v>
      </c>
      <c r="L14" s="70">
        <f ca="1">IF(COUNT(F15:K15)=0,"",COUNTIF(F15:K15,"&gt;0")+0.5*COUNTIF(F15:K15,0))</f>
        <v>3</v>
      </c>
      <c r="M14" s="11"/>
      <c r="N14" s="71">
        <v>3</v>
      </c>
    </row>
    <row r="15" spans="1:14" ht="24" customHeight="1" thickBot="1" x14ac:dyDescent="0.3">
      <c r="A15" s="1">
        <v>21</v>
      </c>
      <c r="B15" s="58"/>
      <c r="C15" s="59"/>
      <c r="D15" s="60"/>
      <c r="E15" s="61"/>
      <c r="F15" s="20">
        <f ca="1">IF(LEN(INDIRECT(ADDRESS(ROW()-1, COLUMN())))=1,"",INDIRECT(ADDRESS(20,7))-INDIRECT(ADDRESS(20,6)))</f>
        <v>-4</v>
      </c>
      <c r="G15" s="21">
        <f ca="1">IF(LEN(INDIRECT(ADDRESS(ROW()-1, COLUMN())))=1,"",INDIRECT(ADDRESS(30,7))-INDIRECT(ADDRESS(30,6)))</f>
        <v>-9</v>
      </c>
      <c r="H15" s="21">
        <f ca="1">IF(LEN(INDIRECT(ADDRESS(ROW()-1, COLUMN())))=1,"",INDIRECT(ADDRESS(40,7))-INDIRECT(ADDRESS(40,6)))</f>
        <v>2</v>
      </c>
      <c r="I15" s="21">
        <f ca="1">IF(LEN(INDIRECT(ADDRESS(ROW()-1, COLUMN())))=1,"",INDIRECT(ADDRESS(25,6))-INDIRECT(ADDRESS(25,7)))</f>
        <v>1</v>
      </c>
      <c r="J15" s="21">
        <f ca="1">IF(LEN(INDIRECT(ADDRESS(ROW()-1, COLUMN())))=1,"",INDIRECT(ADDRESS(35,6))-INDIRECT(ADDRESS(35,7)))</f>
        <v>1</v>
      </c>
      <c r="K15" s="22" t="s">
        <v>4</v>
      </c>
      <c r="L15" s="73"/>
      <c r="M15" s="21">
        <f ca="1">IF(COUNT(F15:K15)=0,"",SUM(F15:K15))</f>
        <v>-9</v>
      </c>
      <c r="N15" s="72"/>
    </row>
    <row r="16" spans="1:14" x14ac:dyDescent="0.25">
      <c r="M16"/>
    </row>
    <row r="17" spans="2:13" x14ac:dyDescent="0.25">
      <c r="M17"/>
    </row>
    <row r="18" spans="2:13" x14ac:dyDescent="0.25">
      <c r="M18"/>
    </row>
    <row r="19" spans="2:13" ht="21.75" thickBot="1" x14ac:dyDescent="0.3">
      <c r="B19" s="57" t="s">
        <v>5</v>
      </c>
      <c r="C19" s="57"/>
      <c r="D19" s="57"/>
      <c r="E19" s="57"/>
      <c r="F19" s="57"/>
      <c r="G19" s="57"/>
      <c r="H19" s="57"/>
      <c r="I19" s="57"/>
      <c r="J19" s="57"/>
      <c r="K19" s="57"/>
      <c r="M19"/>
    </row>
    <row r="20" spans="2:13" ht="19.5" thickBot="1" x14ac:dyDescent="0.3">
      <c r="B20" s="1">
        <v>1</v>
      </c>
      <c r="C20" s="64" t="str">
        <f ca="1">IF(ISBLANK(INDIRECT(ADDRESS(B20*2+2,3))),"",INDIRECT(ADDRESS(B20*2+2,3)))</f>
        <v>Федотов</v>
      </c>
      <c r="D20" s="64"/>
      <c r="E20" s="65"/>
      <c r="F20" s="24">
        <v>13</v>
      </c>
      <c r="G20" s="25">
        <v>9</v>
      </c>
      <c r="H20" s="66" t="str">
        <f ca="1">IF(ISBLANK(INDIRECT(ADDRESS(K20*2+2,3))),"",INDIRECT(ADDRESS(K20*2+2,3)))</f>
        <v>Захаров</v>
      </c>
      <c r="I20" s="64"/>
      <c r="J20" s="64"/>
      <c r="K20" s="1">
        <v>6</v>
      </c>
      <c r="L20" s="26" t="s">
        <v>6</v>
      </c>
      <c r="M20" s="30">
        <v>5</v>
      </c>
    </row>
    <row r="21" spans="2:13" ht="19.5" thickBot="1" x14ac:dyDescent="0.3">
      <c r="B21" s="1">
        <v>2</v>
      </c>
      <c r="C21" s="64" t="str">
        <f ca="1">IF(ISBLANK(INDIRECT(ADDRESS(B21*2+2,3))),"",INDIRECT(ADDRESS(B21*2+2,3)))</f>
        <v xml:space="preserve"> Зорро</v>
      </c>
      <c r="D21" s="64"/>
      <c r="E21" s="65"/>
      <c r="F21" s="24">
        <v>13</v>
      </c>
      <c r="G21" s="25">
        <v>8</v>
      </c>
      <c r="H21" s="66" t="str">
        <f ca="1">IF(ISBLANK(INDIRECT(ADDRESS(K21*2+2,3))),"",INDIRECT(ADDRESS(K21*2+2,3)))</f>
        <v>Домбровский С</v>
      </c>
      <c r="I21" s="64"/>
      <c r="J21" s="64"/>
      <c r="K21" s="1">
        <v>5</v>
      </c>
      <c r="L21" s="26" t="s">
        <v>6</v>
      </c>
      <c r="M21" s="30">
        <v>6</v>
      </c>
    </row>
    <row r="22" spans="2:13" ht="19.5" thickBot="1" x14ac:dyDescent="0.3">
      <c r="B22" s="1">
        <v>3</v>
      </c>
      <c r="C22" s="64" t="str">
        <f ca="1">IF(ISBLANK(INDIRECT(ADDRESS(B22*2+2,3))),"",INDIRECT(ADDRESS(B22*2+2,3)))</f>
        <v xml:space="preserve"> Смирнов</v>
      </c>
      <c r="D22" s="64"/>
      <c r="E22" s="65"/>
      <c r="F22" s="24">
        <v>13</v>
      </c>
      <c r="G22" s="25">
        <v>5</v>
      </c>
      <c r="H22" s="66" t="str">
        <f ca="1">IF(ISBLANK(INDIRECT(ADDRESS(K22*2+2,3))),"",INDIRECT(ADDRESS(K22*2+2,3)))</f>
        <v>Манукян</v>
      </c>
      <c r="I22" s="64"/>
      <c r="J22" s="64"/>
      <c r="K22" s="1">
        <v>4</v>
      </c>
      <c r="L22" s="26" t="s">
        <v>6</v>
      </c>
      <c r="M22" s="30">
        <v>7</v>
      </c>
    </row>
    <row r="24" spans="2:13" ht="21.75" thickBot="1" x14ac:dyDescent="0.3">
      <c r="B24" s="57" t="s">
        <v>7</v>
      </c>
      <c r="C24" s="57"/>
      <c r="D24" s="57"/>
      <c r="E24" s="57"/>
      <c r="F24" s="57"/>
      <c r="G24" s="57"/>
      <c r="H24" s="57"/>
      <c r="I24" s="57"/>
      <c r="J24" s="57"/>
      <c r="K24" s="57"/>
    </row>
    <row r="25" spans="2:13" ht="19.5" thickBot="1" x14ac:dyDescent="0.3">
      <c r="B25" s="1">
        <v>6</v>
      </c>
      <c r="C25" s="64" t="str">
        <f ca="1">IF(ISBLANK(INDIRECT(ADDRESS(B25*2+2,3))),"",INDIRECT(ADDRESS(B25*2+2,3)))</f>
        <v>Захаров</v>
      </c>
      <c r="D25" s="64"/>
      <c r="E25" s="65"/>
      <c r="F25" s="24">
        <v>13</v>
      </c>
      <c r="G25" s="25">
        <v>12</v>
      </c>
      <c r="H25" s="66" t="str">
        <f ca="1">IF(ISBLANK(INDIRECT(ADDRESS(K25*2+2,3))),"",INDIRECT(ADDRESS(K25*2+2,3)))</f>
        <v>Манукян</v>
      </c>
      <c r="I25" s="64"/>
      <c r="J25" s="64"/>
      <c r="K25" s="1">
        <v>4</v>
      </c>
      <c r="L25" s="26" t="s">
        <v>6</v>
      </c>
      <c r="M25" s="30">
        <v>9</v>
      </c>
    </row>
    <row r="26" spans="2:13" ht="19.5" thickBot="1" x14ac:dyDescent="0.3">
      <c r="B26" s="1">
        <v>5</v>
      </c>
      <c r="C26" s="64" t="str">
        <f ca="1">IF(ISBLANK(INDIRECT(ADDRESS(B26*2+2,3))),"",INDIRECT(ADDRESS(B26*2+2,3)))</f>
        <v>Домбровский С</v>
      </c>
      <c r="D26" s="64"/>
      <c r="E26" s="65"/>
      <c r="F26" s="24">
        <v>13</v>
      </c>
      <c r="G26" s="25">
        <v>11</v>
      </c>
      <c r="H26" s="66" t="str">
        <f ca="1">IF(ISBLANK(INDIRECT(ADDRESS(K26*2+2,3))),"",INDIRECT(ADDRESS(K26*2+2,3)))</f>
        <v xml:space="preserve"> Смирнов</v>
      </c>
      <c r="I26" s="64"/>
      <c r="J26" s="64"/>
      <c r="K26" s="1">
        <v>3</v>
      </c>
      <c r="L26" s="26" t="s">
        <v>6</v>
      </c>
      <c r="M26" s="30">
        <v>10</v>
      </c>
    </row>
    <row r="27" spans="2:13" ht="19.5" thickBot="1" x14ac:dyDescent="0.3">
      <c r="B27" s="1">
        <v>1</v>
      </c>
      <c r="C27" s="64" t="str">
        <f ca="1">IF(ISBLANK(INDIRECT(ADDRESS(B27*2+2,3))),"",INDIRECT(ADDRESS(B27*2+2,3)))</f>
        <v>Федотов</v>
      </c>
      <c r="D27" s="64"/>
      <c r="E27" s="65"/>
      <c r="F27" s="24">
        <v>13</v>
      </c>
      <c r="G27" s="25">
        <v>11</v>
      </c>
      <c r="H27" s="66" t="str">
        <f ca="1">IF(ISBLANK(INDIRECT(ADDRESS(K27*2+2,3))),"",INDIRECT(ADDRESS(K27*2+2,3)))</f>
        <v xml:space="preserve"> Зорро</v>
      </c>
      <c r="I27" s="64"/>
      <c r="J27" s="64"/>
      <c r="K27" s="1">
        <v>2</v>
      </c>
      <c r="L27" s="26" t="s">
        <v>6</v>
      </c>
      <c r="M27" s="30">
        <v>11</v>
      </c>
    </row>
    <row r="29" spans="2:13" ht="21.75" thickBot="1" x14ac:dyDescent="0.3">
      <c r="B29" s="57" t="s">
        <v>8</v>
      </c>
      <c r="C29" s="57"/>
      <c r="D29" s="57"/>
      <c r="E29" s="57"/>
      <c r="F29" s="57"/>
      <c r="G29" s="57"/>
      <c r="H29" s="57"/>
      <c r="I29" s="57"/>
      <c r="J29" s="57"/>
      <c r="K29" s="57"/>
    </row>
    <row r="30" spans="2:13" ht="19.5" thickBot="1" x14ac:dyDescent="0.3">
      <c r="B30" s="1">
        <v>2</v>
      </c>
      <c r="C30" s="64" t="str">
        <f ca="1">IF(ISBLANK(INDIRECT(ADDRESS(B30*2+2,3))),"",INDIRECT(ADDRESS(B30*2+2,3)))</f>
        <v xml:space="preserve"> Зорро</v>
      </c>
      <c r="D30" s="64"/>
      <c r="E30" s="65"/>
      <c r="F30" s="24">
        <v>13</v>
      </c>
      <c r="G30" s="25">
        <v>4</v>
      </c>
      <c r="H30" s="66" t="str">
        <f ca="1">IF(ISBLANK(INDIRECT(ADDRESS(K30*2+2,3))),"",INDIRECT(ADDRESS(K30*2+2,3)))</f>
        <v>Захаров</v>
      </c>
      <c r="I30" s="64"/>
      <c r="J30" s="64"/>
      <c r="K30" s="1">
        <v>6</v>
      </c>
      <c r="L30" s="26" t="s">
        <v>6</v>
      </c>
      <c r="M30" s="30">
        <v>13</v>
      </c>
    </row>
    <row r="31" spans="2:13" ht="19.5" thickBot="1" x14ac:dyDescent="0.3">
      <c r="B31" s="1">
        <v>3</v>
      </c>
      <c r="C31" s="64" t="str">
        <f ca="1">IF(ISBLANK(INDIRECT(ADDRESS(B31*2+2,3))),"",INDIRECT(ADDRESS(B31*2+2,3)))</f>
        <v xml:space="preserve"> Смирнов</v>
      </c>
      <c r="D31" s="64"/>
      <c r="E31" s="65"/>
      <c r="F31" s="24">
        <v>5</v>
      </c>
      <c r="G31" s="25">
        <v>13</v>
      </c>
      <c r="H31" s="66" t="str">
        <f ca="1">IF(ISBLANK(INDIRECT(ADDRESS(K31*2+2,3))),"",INDIRECT(ADDRESS(K31*2+2,3)))</f>
        <v>Федотов</v>
      </c>
      <c r="I31" s="64"/>
      <c r="J31" s="64"/>
      <c r="K31" s="1">
        <v>1</v>
      </c>
      <c r="L31" s="26" t="s">
        <v>6</v>
      </c>
      <c r="M31" s="30">
        <v>14</v>
      </c>
    </row>
    <row r="32" spans="2:13" ht="19.5" thickBot="1" x14ac:dyDescent="0.3">
      <c r="B32" s="1">
        <v>4</v>
      </c>
      <c r="C32" s="64" t="str">
        <f ca="1">IF(ISBLANK(INDIRECT(ADDRESS(B32*2+2,3))),"",INDIRECT(ADDRESS(B32*2+2,3)))</f>
        <v>Манукян</v>
      </c>
      <c r="D32" s="64"/>
      <c r="E32" s="65"/>
      <c r="F32" s="24">
        <v>4</v>
      </c>
      <c r="G32" s="25">
        <v>13</v>
      </c>
      <c r="H32" s="66" t="str">
        <f ca="1">IF(ISBLANK(INDIRECT(ADDRESS(K32*2+2,3))),"",INDIRECT(ADDRESS(K32*2+2,3)))</f>
        <v>Домбровский С</v>
      </c>
      <c r="I32" s="64"/>
      <c r="J32" s="64"/>
      <c r="K32" s="1">
        <v>5</v>
      </c>
      <c r="L32" s="26" t="s">
        <v>6</v>
      </c>
      <c r="M32" s="30">
        <v>1</v>
      </c>
    </row>
    <row r="34" spans="2:13" ht="21.75" thickBot="1" x14ac:dyDescent="0.3">
      <c r="B34" s="57" t="s">
        <v>9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3" ht="19.5" thickBot="1" x14ac:dyDescent="0.3">
      <c r="B35" s="1">
        <v>6</v>
      </c>
      <c r="C35" s="64" t="str">
        <f ca="1">IF(ISBLANK(INDIRECT(ADDRESS(B35*2+2,3))),"",INDIRECT(ADDRESS(B35*2+2,3)))</f>
        <v>Захаров</v>
      </c>
      <c r="D35" s="64"/>
      <c r="E35" s="65"/>
      <c r="F35" s="24">
        <v>11</v>
      </c>
      <c r="G35" s="25">
        <v>10</v>
      </c>
      <c r="H35" s="66" t="str">
        <f ca="1">IF(ISBLANK(INDIRECT(ADDRESS(K35*2+2,3))),"",INDIRECT(ADDRESS(K35*2+2,3)))</f>
        <v>Домбровский С</v>
      </c>
      <c r="I35" s="64"/>
      <c r="J35" s="64"/>
      <c r="K35" s="1">
        <v>5</v>
      </c>
      <c r="L35" s="26" t="s">
        <v>6</v>
      </c>
      <c r="M35" s="30">
        <v>3</v>
      </c>
    </row>
    <row r="36" spans="2:13" ht="19.5" thickBot="1" x14ac:dyDescent="0.3">
      <c r="B36" s="1">
        <v>1</v>
      </c>
      <c r="C36" s="64" t="str">
        <f ca="1">IF(ISBLANK(INDIRECT(ADDRESS(B36*2+2,3))),"",INDIRECT(ADDRESS(B36*2+2,3)))</f>
        <v>Федотов</v>
      </c>
      <c r="D36" s="64"/>
      <c r="E36" s="65"/>
      <c r="F36" s="24">
        <v>13</v>
      </c>
      <c r="G36" s="25">
        <v>4</v>
      </c>
      <c r="H36" s="66" t="str">
        <f ca="1">IF(ISBLANK(INDIRECT(ADDRESS(K36*2+2,3))),"",INDIRECT(ADDRESS(K36*2+2,3)))</f>
        <v>Манукян</v>
      </c>
      <c r="I36" s="64"/>
      <c r="J36" s="64"/>
      <c r="K36" s="1">
        <v>4</v>
      </c>
      <c r="L36" s="26" t="s">
        <v>6</v>
      </c>
      <c r="M36" s="30">
        <v>4</v>
      </c>
    </row>
    <row r="37" spans="2:13" ht="19.5" thickBot="1" x14ac:dyDescent="0.3">
      <c r="B37" s="1">
        <v>2</v>
      </c>
      <c r="C37" s="64" t="str">
        <f ca="1">IF(ISBLANK(INDIRECT(ADDRESS(B37*2+2,3))),"",INDIRECT(ADDRESS(B37*2+2,3)))</f>
        <v xml:space="preserve"> Зорро</v>
      </c>
      <c r="D37" s="64"/>
      <c r="E37" s="65"/>
      <c r="F37" s="24">
        <v>13</v>
      </c>
      <c r="G37" s="25">
        <v>1</v>
      </c>
      <c r="H37" s="66" t="str">
        <f ca="1">IF(ISBLANK(INDIRECT(ADDRESS(K37*2+2,3))),"",INDIRECT(ADDRESS(K37*2+2,3)))</f>
        <v xml:space="preserve"> Смирнов</v>
      </c>
      <c r="I37" s="64"/>
      <c r="J37" s="64"/>
      <c r="K37" s="1">
        <v>3</v>
      </c>
      <c r="L37" s="26" t="s">
        <v>6</v>
      </c>
      <c r="M37" s="30">
        <v>5</v>
      </c>
    </row>
    <row r="39" spans="2:13" ht="21.75" thickBot="1" x14ac:dyDescent="0.3">
      <c r="B39" s="57" t="s">
        <v>10</v>
      </c>
      <c r="C39" s="57"/>
      <c r="D39" s="57"/>
      <c r="E39" s="57"/>
      <c r="F39" s="57"/>
      <c r="G39" s="57"/>
      <c r="H39" s="57"/>
      <c r="I39" s="57"/>
      <c r="J39" s="57"/>
      <c r="K39" s="57"/>
    </row>
    <row r="40" spans="2:13" ht="19.5" thickBot="1" x14ac:dyDescent="0.3">
      <c r="B40" s="1">
        <v>3</v>
      </c>
      <c r="C40" s="64" t="str">
        <f ca="1">IF(ISBLANK(INDIRECT(ADDRESS(B40*2+2,3))),"",INDIRECT(ADDRESS(B40*2+2,3)))</f>
        <v xml:space="preserve"> Смирнов</v>
      </c>
      <c r="D40" s="64"/>
      <c r="E40" s="65"/>
      <c r="F40" s="24">
        <v>11</v>
      </c>
      <c r="G40" s="25">
        <v>13</v>
      </c>
      <c r="H40" s="66" t="str">
        <f ca="1">IF(ISBLANK(INDIRECT(ADDRESS(K40*2+2,3))),"",INDIRECT(ADDRESS(K40*2+2,3)))</f>
        <v>Захаров</v>
      </c>
      <c r="I40" s="64"/>
      <c r="J40" s="64"/>
      <c r="K40" s="1">
        <v>6</v>
      </c>
      <c r="L40" s="26" t="s">
        <v>6</v>
      </c>
      <c r="M40" s="30">
        <v>7</v>
      </c>
    </row>
    <row r="41" spans="2:13" ht="19.5" thickBot="1" x14ac:dyDescent="0.3">
      <c r="B41" s="1">
        <v>4</v>
      </c>
      <c r="C41" s="64" t="str">
        <f ca="1">IF(ISBLANK(INDIRECT(ADDRESS(B41*2+2,3))),"",INDIRECT(ADDRESS(B41*2+2,3)))</f>
        <v>Манукян</v>
      </c>
      <c r="D41" s="64"/>
      <c r="E41" s="65"/>
      <c r="F41" s="24">
        <v>7</v>
      </c>
      <c r="G41" s="25">
        <v>13</v>
      </c>
      <c r="H41" s="66" t="str">
        <f ca="1">IF(ISBLANK(INDIRECT(ADDRESS(K41*2+2,3))),"",INDIRECT(ADDRESS(K41*2+2,3)))</f>
        <v xml:space="preserve"> Зорро</v>
      </c>
      <c r="I41" s="64"/>
      <c r="J41" s="64"/>
      <c r="K41" s="1">
        <v>2</v>
      </c>
      <c r="L41" s="26" t="s">
        <v>6</v>
      </c>
      <c r="M41" s="30">
        <v>8</v>
      </c>
    </row>
    <row r="42" spans="2:13" ht="19.5" thickBot="1" x14ac:dyDescent="0.3">
      <c r="B42" s="1">
        <v>5</v>
      </c>
      <c r="C42" s="64" t="str">
        <f ca="1">IF(ISBLANK(INDIRECT(ADDRESS(B42*2+2,3))),"",INDIRECT(ADDRESS(B42*2+2,3)))</f>
        <v>Домбровский С</v>
      </c>
      <c r="D42" s="64"/>
      <c r="E42" s="65"/>
      <c r="F42" s="24">
        <v>1</v>
      </c>
      <c r="G42" s="25">
        <v>13</v>
      </c>
      <c r="H42" s="66" t="str">
        <f ca="1">IF(ISBLANK(INDIRECT(ADDRESS(K42*2+2,3))),"",INDIRECT(ADDRESS(K42*2+2,3)))</f>
        <v>Федотов</v>
      </c>
      <c r="I42" s="64"/>
      <c r="J42" s="64"/>
      <c r="K42" s="1">
        <v>1</v>
      </c>
      <c r="L42" s="26" t="s">
        <v>6</v>
      </c>
      <c r="M42" s="30">
        <v>9</v>
      </c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K1"/>
    <mergeCell ref="C3:E3"/>
    <mergeCell ref="B4:B5"/>
    <mergeCell ref="C4:E5"/>
    <mergeCell ref="L4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42"/>
  <sheetViews>
    <sheetView topLeftCell="A19" workbookViewId="0">
      <selection activeCell="N16" sqref="N16"/>
    </sheetView>
  </sheetViews>
  <sheetFormatPr defaultRowHeight="15" x14ac:dyDescent="0.25"/>
  <cols>
    <col min="1" max="1" width="4" customWidth="1"/>
    <col min="2" max="12" width="10.28515625" customWidth="1"/>
    <col min="13" max="13" width="10.28515625" style="31" customWidth="1"/>
    <col min="14" max="15" width="10.28515625" customWidth="1"/>
  </cols>
  <sheetData>
    <row r="1" spans="1:14" ht="59.25" customHeight="1" x14ac:dyDescent="0.25">
      <c r="B1" s="42" t="s">
        <v>17</v>
      </c>
      <c r="C1" s="42"/>
      <c r="D1" s="42"/>
      <c r="E1" s="42"/>
      <c r="F1" s="42"/>
      <c r="G1" s="42"/>
      <c r="H1" s="42"/>
      <c r="I1" s="42"/>
      <c r="J1" s="42"/>
      <c r="K1" s="42"/>
      <c r="M1"/>
    </row>
    <row r="2" spans="1:14" ht="15.75" thickBot="1" x14ac:dyDescent="0.3">
      <c r="M2"/>
    </row>
    <row r="3" spans="1:14" ht="30" customHeight="1" thickBot="1" x14ac:dyDescent="0.3">
      <c r="B3" s="2"/>
      <c r="C3" s="43" t="s">
        <v>0</v>
      </c>
      <c r="D3" s="44"/>
      <c r="E3" s="45"/>
      <c r="F3" s="3">
        <v>1</v>
      </c>
      <c r="G3" s="3">
        <v>2</v>
      </c>
      <c r="H3" s="3">
        <v>3</v>
      </c>
      <c r="I3" s="4">
        <v>4</v>
      </c>
      <c r="J3" s="4">
        <v>5</v>
      </c>
      <c r="K3" s="4">
        <v>6</v>
      </c>
      <c r="L3" s="28" t="s">
        <v>1</v>
      </c>
      <c r="M3" s="3" t="s">
        <v>2</v>
      </c>
      <c r="N3" s="29" t="s">
        <v>3</v>
      </c>
    </row>
    <row r="4" spans="1:14" ht="24" customHeight="1" x14ac:dyDescent="0.25">
      <c r="A4" s="1" t="s">
        <v>11</v>
      </c>
      <c r="B4" s="46">
        <v>1</v>
      </c>
      <c r="C4" s="48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 xml:space="preserve"> Мишин</v>
      </c>
      <c r="D4" s="49"/>
      <c r="E4" s="50"/>
      <c r="F4" s="6" t="s">
        <v>4</v>
      </c>
      <c r="G4" s="7" t="str">
        <f ca="1">INDIRECT(ADDRESS(27,6))&amp;":"&amp;INDIRECT(ADDRESS(27,7))</f>
        <v>13:8</v>
      </c>
      <c r="H4" s="7" t="str">
        <f ca="1">INDIRECT(ADDRESS(31,7))&amp;":"&amp;INDIRECT(ADDRESS(31,6))</f>
        <v>12:13</v>
      </c>
      <c r="I4" s="7" t="str">
        <f ca="1">INDIRECT(ADDRESS(36,6))&amp;":"&amp;INDIRECT(ADDRESS(36,7))</f>
        <v>13:8</v>
      </c>
      <c r="J4" s="7" t="str">
        <f ca="1">INDIRECT(ADDRESS(42,7))&amp;":"&amp;INDIRECT(ADDRESS(42,6))</f>
        <v>5:13</v>
      </c>
      <c r="K4" s="8" t="str">
        <f ca="1">INDIRECT(ADDRESS(20,6))&amp;":"&amp;INDIRECT(ADDRESS(20,7))</f>
        <v>13:4</v>
      </c>
      <c r="L4" s="69">
        <f ca="1">IF(COUNT(F5:K5)=0,"",COUNTIF(F5:K5,"&gt;0")+0.5*COUNTIF(F5:K5,0))</f>
        <v>3</v>
      </c>
      <c r="M4" s="9"/>
      <c r="N4" s="67">
        <v>3</v>
      </c>
    </row>
    <row r="5" spans="1:14" ht="24" customHeight="1" x14ac:dyDescent="0.25">
      <c r="A5" s="1">
        <v>2</v>
      </c>
      <c r="B5" s="47"/>
      <c r="C5" s="51"/>
      <c r="D5" s="52"/>
      <c r="E5" s="53"/>
      <c r="F5" s="10" t="s">
        <v>4</v>
      </c>
      <c r="G5" s="11">
        <f ca="1">IF(LEN(INDIRECT(ADDRESS(ROW()-1, COLUMN())))=1,"",INDIRECT(ADDRESS(27,6))-INDIRECT(ADDRESS(27,7)))</f>
        <v>5</v>
      </c>
      <c r="H5" s="11">
        <f ca="1">IF(LEN(INDIRECT(ADDRESS(ROW()-1, COLUMN())))=1,"",INDIRECT(ADDRESS(31,7))-INDIRECT(ADDRESS(31,6)))</f>
        <v>-1</v>
      </c>
      <c r="I5" s="11">
        <f ca="1">IF(LEN(INDIRECT(ADDRESS(ROW()-1, COLUMN())))=1,"",INDIRECT(ADDRESS(36,6))-INDIRECT(ADDRESS(36,7)))</f>
        <v>5</v>
      </c>
      <c r="J5" s="11">
        <f ca="1">IF(LEN(INDIRECT(ADDRESS(ROW()-1, COLUMN())))=1,"",INDIRECT(ADDRESS(42,7))-INDIRECT(ADDRESS(42,6)))</f>
        <v>-8</v>
      </c>
      <c r="K5" s="12">
        <f ca="1">IF(LEN(INDIRECT(ADDRESS(ROW()-1, COLUMN())))=1,"",INDIRECT(ADDRESS(20,6))-INDIRECT(ADDRESS(20,7)))</f>
        <v>9</v>
      </c>
      <c r="L5" s="70"/>
      <c r="M5" s="11">
        <f ca="1">IF(COUNT(F5:K5)=0,"",SUM(F5:K5))</f>
        <v>10</v>
      </c>
      <c r="N5" s="68"/>
    </row>
    <row r="6" spans="1:14" ht="24" customHeight="1" x14ac:dyDescent="0.25">
      <c r="A6" s="1" t="s">
        <v>11</v>
      </c>
      <c r="B6" s="56">
        <v>2</v>
      </c>
      <c r="C6" s="51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Капов И</v>
      </c>
      <c r="D6" s="52"/>
      <c r="E6" s="53"/>
      <c r="F6" s="13" t="str">
        <f ca="1">INDIRECT(ADDRESS(27,7))&amp;":"&amp;INDIRECT(ADDRESS(27,6))</f>
        <v>8:13</v>
      </c>
      <c r="G6" s="14" t="s">
        <v>4</v>
      </c>
      <c r="H6" s="15" t="str">
        <f ca="1">INDIRECT(ADDRESS(37,6))&amp;":"&amp;INDIRECT(ADDRESS(37,7))</f>
        <v>10:13</v>
      </c>
      <c r="I6" s="15" t="str">
        <f ca="1">INDIRECT(ADDRESS(41,7))&amp;":"&amp;INDIRECT(ADDRESS(41,6))</f>
        <v>13:7</v>
      </c>
      <c r="J6" s="15" t="str">
        <f ca="1">INDIRECT(ADDRESS(21,6))&amp;":"&amp;INDIRECT(ADDRESS(21,7))</f>
        <v>3:13</v>
      </c>
      <c r="K6" s="16" t="str">
        <f ca="1">INDIRECT(ADDRESS(30,6))&amp;":"&amp;INDIRECT(ADDRESS(30,7))</f>
        <v>13:5</v>
      </c>
      <c r="L6" s="70">
        <f ca="1">IF(COUNT(F7:K7)=0,"",COUNTIF(F7:K7,"&gt;0")+0.5*COUNTIF(F7:K7,0))</f>
        <v>2</v>
      </c>
      <c r="M6" s="11"/>
      <c r="N6" s="71">
        <v>4</v>
      </c>
    </row>
    <row r="7" spans="1:14" ht="24" customHeight="1" x14ac:dyDescent="0.25">
      <c r="A7" s="1">
        <v>10</v>
      </c>
      <c r="B7" s="47"/>
      <c r="C7" s="51"/>
      <c r="D7" s="52"/>
      <c r="E7" s="53"/>
      <c r="F7" s="17">
        <f ca="1">IF(LEN(INDIRECT(ADDRESS(ROW()-1, COLUMN())))=1,"",INDIRECT(ADDRESS(27,7))-INDIRECT(ADDRESS(27,6)))</f>
        <v>-5</v>
      </c>
      <c r="G7" s="18" t="s">
        <v>4</v>
      </c>
      <c r="H7" s="11">
        <f ca="1">IF(LEN(INDIRECT(ADDRESS(ROW()-1, COLUMN())))=1,"",INDIRECT(ADDRESS(37,6))-INDIRECT(ADDRESS(37,7)))</f>
        <v>-3</v>
      </c>
      <c r="I7" s="11">
        <f ca="1">IF(LEN(INDIRECT(ADDRESS(ROW()-1, COLUMN())))=1,"",INDIRECT(ADDRESS(41,7))-INDIRECT(ADDRESS(41,6)))</f>
        <v>6</v>
      </c>
      <c r="J7" s="11">
        <f ca="1">IF(LEN(INDIRECT(ADDRESS(ROW()-1, COLUMN())))=1,"",INDIRECT(ADDRESS(21,6))-INDIRECT(ADDRESS(21,7)))</f>
        <v>-10</v>
      </c>
      <c r="K7" s="12">
        <f ca="1">IF(LEN(INDIRECT(ADDRESS(ROW()-1, COLUMN())))=1,"",INDIRECT(ADDRESS(30,6))-INDIRECT(ADDRESS(30,7)))</f>
        <v>8</v>
      </c>
      <c r="L7" s="70"/>
      <c r="M7" s="11">
        <f ca="1">IF(COUNT(F7:K7)=0,"",SUM(F7:K7))</f>
        <v>-4</v>
      </c>
      <c r="N7" s="68"/>
    </row>
    <row r="8" spans="1:14" ht="24" customHeight="1" x14ac:dyDescent="0.25">
      <c r="A8" s="1" t="s">
        <v>11</v>
      </c>
      <c r="B8" s="56">
        <v>3</v>
      </c>
      <c r="C8" s="51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Иванов Ю</v>
      </c>
      <c r="D8" s="52"/>
      <c r="E8" s="53"/>
      <c r="F8" s="13" t="str">
        <f ca="1">INDIRECT(ADDRESS(31,6))&amp;":"&amp;INDIRECT(ADDRESS(31,7))</f>
        <v>13:12</v>
      </c>
      <c r="G8" s="15" t="str">
        <f ca="1">INDIRECT(ADDRESS(37,7))&amp;":"&amp;INDIRECT(ADDRESS(37,6))</f>
        <v>13:10</v>
      </c>
      <c r="H8" s="14" t="s">
        <v>4</v>
      </c>
      <c r="I8" s="15" t="str">
        <f ca="1">INDIRECT(ADDRESS(22,6))&amp;":"&amp;INDIRECT(ADDRESS(22,7))</f>
        <v>13:7</v>
      </c>
      <c r="J8" s="15" t="str">
        <f ca="1">INDIRECT(ADDRESS(26,7))&amp;":"&amp;INDIRECT(ADDRESS(26,6))</f>
        <v>6:13</v>
      </c>
      <c r="K8" s="16" t="str">
        <f ca="1">INDIRECT(ADDRESS(40,6))&amp;":"&amp;INDIRECT(ADDRESS(40,7))</f>
        <v>13:2</v>
      </c>
      <c r="L8" s="70">
        <f ca="1">IF(COUNT(F9:K9)=0,"",COUNTIF(F9:K9,"&gt;0")+0.5*COUNTIF(F9:K9,0))</f>
        <v>4</v>
      </c>
      <c r="M8" s="11"/>
      <c r="N8" s="71">
        <v>2</v>
      </c>
    </row>
    <row r="9" spans="1:14" ht="24" customHeight="1" x14ac:dyDescent="0.25">
      <c r="A9" s="1">
        <v>6</v>
      </c>
      <c r="B9" s="47"/>
      <c r="C9" s="51"/>
      <c r="D9" s="52"/>
      <c r="E9" s="53"/>
      <c r="F9" s="17">
        <f ca="1">IF(LEN(INDIRECT(ADDRESS(ROW()-1, COLUMN())))=1,"",INDIRECT(ADDRESS(31,6))-INDIRECT(ADDRESS(31,7)))</f>
        <v>1</v>
      </c>
      <c r="G9" s="11">
        <f ca="1">IF(LEN(INDIRECT(ADDRESS(ROW()-1, COLUMN())))=1,"",INDIRECT(ADDRESS(37,7))-INDIRECT(ADDRESS(37,6)))</f>
        <v>3</v>
      </c>
      <c r="H9" s="18" t="s">
        <v>4</v>
      </c>
      <c r="I9" s="11">
        <f ca="1">IF(LEN(INDIRECT(ADDRESS(ROW()-1, COLUMN())))=1,"",INDIRECT(ADDRESS(22,6))-INDIRECT(ADDRESS(22,7)))</f>
        <v>6</v>
      </c>
      <c r="J9" s="11">
        <f ca="1">IF(LEN(INDIRECT(ADDRESS(ROW()-1, COLUMN())))=1,"",INDIRECT(ADDRESS(26,7))-INDIRECT(ADDRESS(26,6)))</f>
        <v>-7</v>
      </c>
      <c r="K9" s="12">
        <f ca="1">IF(LEN(INDIRECT(ADDRESS(ROW()-1, COLUMN())))=1,"",INDIRECT(ADDRESS(40,6))-INDIRECT(ADDRESS(40,7)))</f>
        <v>11</v>
      </c>
      <c r="L9" s="70"/>
      <c r="M9" s="11">
        <f ca="1">IF(COUNT(F9:K9)=0,"",SUM(F9:K9))</f>
        <v>14</v>
      </c>
      <c r="N9" s="68"/>
    </row>
    <row r="10" spans="1:14" ht="24" customHeight="1" x14ac:dyDescent="0.25">
      <c r="A10" s="1" t="s">
        <v>11</v>
      </c>
      <c r="B10" s="56">
        <v>4</v>
      </c>
      <c r="C10" s="51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Горбунов</v>
      </c>
      <c r="D10" s="52"/>
      <c r="E10" s="53"/>
      <c r="F10" s="13" t="str">
        <f ca="1">INDIRECT(ADDRESS(36,7))&amp;":"&amp;INDIRECT(ADDRESS(36,6))</f>
        <v>8:13</v>
      </c>
      <c r="G10" s="15" t="str">
        <f ca="1">INDIRECT(ADDRESS(41,6))&amp;":"&amp;INDIRECT(ADDRESS(41,7))</f>
        <v>7:13</v>
      </c>
      <c r="H10" s="15" t="str">
        <f ca="1">INDIRECT(ADDRESS(22,7))&amp;":"&amp;INDIRECT(ADDRESS(22,6))</f>
        <v>7:13</v>
      </c>
      <c r="I10" s="14" t="s">
        <v>4</v>
      </c>
      <c r="J10" s="15" t="str">
        <f ca="1">INDIRECT(ADDRESS(32,6))&amp;":"&amp;INDIRECT(ADDRESS(32,7))</f>
        <v>5:13</v>
      </c>
      <c r="K10" s="16" t="str">
        <f ca="1">INDIRECT(ADDRESS(25,7))&amp;":"&amp;INDIRECT(ADDRESS(25,6))</f>
        <v>8:12</v>
      </c>
      <c r="L10" s="70">
        <f ca="1">IF(COUNT(F11:K11)=0,"",COUNTIF(F11:K11,"&gt;0")+0.5*COUNTIF(F11:K11,0))</f>
        <v>0</v>
      </c>
      <c r="M10" s="11"/>
      <c r="N10" s="71">
        <v>6</v>
      </c>
    </row>
    <row r="11" spans="1:14" ht="24" customHeight="1" x14ac:dyDescent="0.25">
      <c r="A11" s="1">
        <v>14</v>
      </c>
      <c r="B11" s="47"/>
      <c r="C11" s="51"/>
      <c r="D11" s="52"/>
      <c r="E11" s="53"/>
      <c r="F11" s="17">
        <f ca="1">IF(LEN(INDIRECT(ADDRESS(ROW()-1, COLUMN())))=1,"",INDIRECT(ADDRESS(36,7))-INDIRECT(ADDRESS(36,6)))</f>
        <v>-5</v>
      </c>
      <c r="G11" s="11">
        <f ca="1">IF(LEN(INDIRECT(ADDRESS(ROW()-1, COLUMN())))=1,"",INDIRECT(ADDRESS(41,6))-INDIRECT(ADDRESS(41,7)))</f>
        <v>-6</v>
      </c>
      <c r="H11" s="11">
        <f ca="1">IF(LEN(INDIRECT(ADDRESS(ROW()-1, COLUMN())))=1,"",INDIRECT(ADDRESS(22,7))-INDIRECT(ADDRESS(22,6)))</f>
        <v>-6</v>
      </c>
      <c r="I11" s="18" t="s">
        <v>4</v>
      </c>
      <c r="J11" s="11">
        <f ca="1">IF(LEN(INDIRECT(ADDRESS(ROW()-1, COLUMN())))=1,"",INDIRECT(ADDRESS(32,6))-INDIRECT(ADDRESS(32,7)))</f>
        <v>-8</v>
      </c>
      <c r="K11" s="12">
        <f ca="1">IF(LEN(INDIRECT(ADDRESS(ROW()-1, COLUMN())))=1,"",INDIRECT(ADDRESS(25,7))-INDIRECT(ADDRESS(25,6)))</f>
        <v>-4</v>
      </c>
      <c r="L11" s="70"/>
      <c r="M11" s="11">
        <f ca="1">IF(COUNT(F11:K11)=0,"",SUM(F11:K11))</f>
        <v>-29</v>
      </c>
      <c r="N11" s="68"/>
    </row>
    <row r="12" spans="1:14" ht="24" customHeight="1" x14ac:dyDescent="0.25">
      <c r="A12" s="1" t="s">
        <v>11</v>
      </c>
      <c r="B12" s="56">
        <v>5</v>
      </c>
      <c r="C12" s="51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Риад</v>
      </c>
      <c r="D12" s="52"/>
      <c r="E12" s="53"/>
      <c r="F12" s="13" t="str">
        <f ca="1">INDIRECT(ADDRESS(42,6))&amp;":"&amp;INDIRECT(ADDRESS(42,7))</f>
        <v>13:5</v>
      </c>
      <c r="G12" s="15" t="str">
        <f ca="1">INDIRECT(ADDRESS(21,7))&amp;":"&amp;INDIRECT(ADDRESS(21,6))</f>
        <v>13:3</v>
      </c>
      <c r="H12" s="15" t="str">
        <f ca="1">INDIRECT(ADDRESS(26,6))&amp;":"&amp;INDIRECT(ADDRESS(26,7))</f>
        <v>13:6</v>
      </c>
      <c r="I12" s="15" t="str">
        <f ca="1">INDIRECT(ADDRESS(32,7))&amp;":"&amp;INDIRECT(ADDRESS(32,6))</f>
        <v>13:5</v>
      </c>
      <c r="J12" s="14" t="s">
        <v>4</v>
      </c>
      <c r="K12" s="16" t="str">
        <f ca="1">INDIRECT(ADDRESS(35,7))&amp;":"&amp;INDIRECT(ADDRESS(35,6))</f>
        <v>13:5</v>
      </c>
      <c r="L12" s="70">
        <f ca="1">IF(COUNT(F13:K13)=0,"",COUNTIF(F13:K13,"&gt;0")+0.5*COUNTIF(F13:K13,0))</f>
        <v>5</v>
      </c>
      <c r="M12" s="11"/>
      <c r="N12" s="71">
        <v>1</v>
      </c>
    </row>
    <row r="13" spans="1:14" ht="24" customHeight="1" x14ac:dyDescent="0.25">
      <c r="A13" s="1">
        <v>18</v>
      </c>
      <c r="B13" s="47"/>
      <c r="C13" s="51"/>
      <c r="D13" s="52"/>
      <c r="E13" s="53"/>
      <c r="F13" s="17">
        <f ca="1">IF(LEN(INDIRECT(ADDRESS(ROW()-1, COLUMN())))=1,"",INDIRECT(ADDRESS(42,6))-INDIRECT(ADDRESS(42,7)))</f>
        <v>8</v>
      </c>
      <c r="G13" s="11">
        <f ca="1">IF(LEN(INDIRECT(ADDRESS(ROW()-1, COLUMN())))=1,"",INDIRECT(ADDRESS(21,7))-INDIRECT(ADDRESS(21,6)))</f>
        <v>10</v>
      </c>
      <c r="H13" s="11">
        <f ca="1">IF(LEN(INDIRECT(ADDRESS(ROW()-1, COLUMN())))=1,"",INDIRECT(ADDRESS(26,6))-INDIRECT(ADDRESS(26,7)))</f>
        <v>7</v>
      </c>
      <c r="I13" s="11">
        <f ca="1">IF(LEN(INDIRECT(ADDRESS(ROW()-1, COLUMN())))=1,"",INDIRECT(ADDRESS(32,7))-INDIRECT(ADDRESS(32,6)))</f>
        <v>8</v>
      </c>
      <c r="J13" s="18" t="s">
        <v>4</v>
      </c>
      <c r="K13" s="12">
        <f ca="1">IF(LEN(INDIRECT(ADDRESS(ROW()-1, COLUMN())))=1,"",INDIRECT(ADDRESS(35,7))-INDIRECT(ADDRESS(35,6)))</f>
        <v>8</v>
      </c>
      <c r="L13" s="70"/>
      <c r="M13" s="11">
        <f ca="1">IF(COUNT(F13:K13)=0,"",SUM(F13:K13))</f>
        <v>41</v>
      </c>
      <c r="N13" s="68"/>
    </row>
    <row r="14" spans="1:14" ht="24" customHeight="1" x14ac:dyDescent="0.25">
      <c r="A14" s="1" t="s">
        <v>11</v>
      </c>
      <c r="B14" s="56">
        <v>6</v>
      </c>
      <c r="C14" s="51" t="str">
        <f ca="1">IF(LEFT(A14,1)="X",IFERROR(INDIRECT(ADDRESS(MATCH(A15,OFFSET(INDIRECT(ADDRESS(1,3,,,A14)),0,0,200,1),0),2,,,A14)),""),IFERROR(INDIRECT(ADDRESS(MATCH(A15,OFFSET(INDIRECT(ADDRESS(3,2,,,A14)),1,6+MAX(OFFSET(INDIRECT(ADDRESS(3,2,,,A14)),0,0,1,20)),2*MAX(OFFSET(INDIRECT(ADDRESS(3,2,,,A14)),0,0,1,20)),1),0)+3,3,,,A14)),""))</f>
        <v xml:space="preserve"> Фальковский</v>
      </c>
      <c r="D14" s="52"/>
      <c r="E14" s="53"/>
      <c r="F14" s="13" t="str">
        <f ca="1">INDIRECT(ADDRESS(20,7))&amp;":"&amp;INDIRECT(ADDRESS(20,6))</f>
        <v>4:13</v>
      </c>
      <c r="G14" s="15" t="str">
        <f ca="1">INDIRECT(ADDRESS(30,7))&amp;":"&amp;INDIRECT(ADDRESS(30,6))</f>
        <v>5:13</v>
      </c>
      <c r="H14" s="15" t="str">
        <f ca="1">INDIRECT(ADDRESS(40,7))&amp;":"&amp;INDIRECT(ADDRESS(40,6))</f>
        <v>2:13</v>
      </c>
      <c r="I14" s="15" t="str">
        <f ca="1">INDIRECT(ADDRESS(25,6))&amp;":"&amp;INDIRECT(ADDRESS(25,7))</f>
        <v>12:8</v>
      </c>
      <c r="J14" s="15" t="str">
        <f ca="1">INDIRECT(ADDRESS(35,6))&amp;":"&amp;INDIRECT(ADDRESS(35,7))</f>
        <v>5:13</v>
      </c>
      <c r="K14" s="19" t="s">
        <v>4</v>
      </c>
      <c r="L14" s="70">
        <f ca="1">IF(COUNT(F15:K15)=0,"",COUNTIF(F15:K15,"&gt;0")+0.5*COUNTIF(F15:K15,0))</f>
        <v>1</v>
      </c>
      <c r="M14" s="11"/>
      <c r="N14" s="71">
        <v>5</v>
      </c>
    </row>
    <row r="15" spans="1:14" ht="24" customHeight="1" thickBot="1" x14ac:dyDescent="0.3">
      <c r="A15" s="1">
        <v>22</v>
      </c>
      <c r="B15" s="58"/>
      <c r="C15" s="59"/>
      <c r="D15" s="60"/>
      <c r="E15" s="61"/>
      <c r="F15" s="20">
        <f ca="1">IF(LEN(INDIRECT(ADDRESS(ROW()-1, COLUMN())))=1,"",INDIRECT(ADDRESS(20,7))-INDIRECT(ADDRESS(20,6)))</f>
        <v>-9</v>
      </c>
      <c r="G15" s="21">
        <f ca="1">IF(LEN(INDIRECT(ADDRESS(ROW()-1, COLUMN())))=1,"",INDIRECT(ADDRESS(30,7))-INDIRECT(ADDRESS(30,6)))</f>
        <v>-8</v>
      </c>
      <c r="H15" s="21">
        <f ca="1">IF(LEN(INDIRECT(ADDRESS(ROW()-1, COLUMN())))=1,"",INDIRECT(ADDRESS(40,7))-INDIRECT(ADDRESS(40,6)))</f>
        <v>-11</v>
      </c>
      <c r="I15" s="21">
        <f ca="1">IF(LEN(INDIRECT(ADDRESS(ROW()-1, COLUMN())))=1,"",INDIRECT(ADDRESS(25,6))-INDIRECT(ADDRESS(25,7)))</f>
        <v>4</v>
      </c>
      <c r="J15" s="21">
        <f ca="1">IF(LEN(INDIRECT(ADDRESS(ROW()-1, COLUMN())))=1,"",INDIRECT(ADDRESS(35,6))-INDIRECT(ADDRESS(35,7)))</f>
        <v>-8</v>
      </c>
      <c r="K15" s="22" t="s">
        <v>4</v>
      </c>
      <c r="L15" s="73"/>
      <c r="M15" s="21">
        <f ca="1">IF(COUNT(F15:K15)=0,"",SUM(F15:K15))</f>
        <v>-32</v>
      </c>
      <c r="N15" s="72"/>
    </row>
    <row r="16" spans="1:14" x14ac:dyDescent="0.25">
      <c r="M16"/>
    </row>
    <row r="17" spans="2:13" x14ac:dyDescent="0.25">
      <c r="M17"/>
    </row>
    <row r="18" spans="2:13" x14ac:dyDescent="0.25">
      <c r="M18"/>
    </row>
    <row r="19" spans="2:13" ht="21.75" thickBot="1" x14ac:dyDescent="0.3">
      <c r="B19" s="57" t="s">
        <v>5</v>
      </c>
      <c r="C19" s="57"/>
      <c r="D19" s="57"/>
      <c r="E19" s="57"/>
      <c r="F19" s="57"/>
      <c r="G19" s="57"/>
      <c r="H19" s="57"/>
      <c r="I19" s="57"/>
      <c r="J19" s="57"/>
      <c r="K19" s="57"/>
      <c r="M19"/>
    </row>
    <row r="20" spans="2:13" ht="19.5" thickBot="1" x14ac:dyDescent="0.3">
      <c r="B20" s="1">
        <v>1</v>
      </c>
      <c r="C20" s="64" t="str">
        <f ca="1">IF(ISBLANK(INDIRECT(ADDRESS(B20*2+2,3))),"",INDIRECT(ADDRESS(B20*2+2,3)))</f>
        <v xml:space="preserve"> Мишин</v>
      </c>
      <c r="D20" s="64"/>
      <c r="E20" s="65"/>
      <c r="F20" s="24">
        <v>13</v>
      </c>
      <c r="G20" s="25">
        <v>4</v>
      </c>
      <c r="H20" s="66" t="str">
        <f ca="1">IF(ISBLANK(INDIRECT(ADDRESS(K20*2+2,3))),"",INDIRECT(ADDRESS(K20*2+2,3)))</f>
        <v xml:space="preserve"> Фальковский</v>
      </c>
      <c r="I20" s="64"/>
      <c r="J20" s="64"/>
      <c r="K20" s="1">
        <v>6</v>
      </c>
      <c r="L20" s="26" t="s">
        <v>6</v>
      </c>
      <c r="M20" s="30">
        <v>8</v>
      </c>
    </row>
    <row r="21" spans="2:13" ht="19.5" thickBot="1" x14ac:dyDescent="0.3">
      <c r="B21" s="1">
        <v>2</v>
      </c>
      <c r="C21" s="64" t="str">
        <f ca="1">IF(ISBLANK(INDIRECT(ADDRESS(B21*2+2,3))),"",INDIRECT(ADDRESS(B21*2+2,3)))</f>
        <v>Капов И</v>
      </c>
      <c r="D21" s="64"/>
      <c r="E21" s="65"/>
      <c r="F21" s="24">
        <v>3</v>
      </c>
      <c r="G21" s="25">
        <v>13</v>
      </c>
      <c r="H21" s="66" t="str">
        <f ca="1">IF(ISBLANK(INDIRECT(ADDRESS(K21*2+2,3))),"",INDIRECT(ADDRESS(K21*2+2,3)))</f>
        <v>Риад</v>
      </c>
      <c r="I21" s="64"/>
      <c r="J21" s="64"/>
      <c r="K21" s="1">
        <v>5</v>
      </c>
      <c r="L21" s="26" t="s">
        <v>6</v>
      </c>
      <c r="M21" s="30">
        <v>9</v>
      </c>
    </row>
    <row r="22" spans="2:13" ht="19.5" thickBot="1" x14ac:dyDescent="0.3">
      <c r="B22" s="1">
        <v>3</v>
      </c>
      <c r="C22" s="64" t="str">
        <f ca="1">IF(ISBLANK(INDIRECT(ADDRESS(B22*2+2,3))),"",INDIRECT(ADDRESS(B22*2+2,3)))</f>
        <v>Иванов Ю</v>
      </c>
      <c r="D22" s="64"/>
      <c r="E22" s="65"/>
      <c r="F22" s="24">
        <v>13</v>
      </c>
      <c r="G22" s="25">
        <v>7</v>
      </c>
      <c r="H22" s="66" t="str">
        <f ca="1">IF(ISBLANK(INDIRECT(ADDRESS(K22*2+2,3))),"",INDIRECT(ADDRESS(K22*2+2,3)))</f>
        <v>Горбунов</v>
      </c>
      <c r="I22" s="64"/>
      <c r="J22" s="64"/>
      <c r="K22" s="1">
        <v>4</v>
      </c>
      <c r="L22" s="26" t="s">
        <v>6</v>
      </c>
      <c r="M22" s="30">
        <v>10</v>
      </c>
    </row>
    <row r="24" spans="2:13" ht="21.75" thickBot="1" x14ac:dyDescent="0.3">
      <c r="B24" s="57" t="s">
        <v>7</v>
      </c>
      <c r="C24" s="57"/>
      <c r="D24" s="57"/>
      <c r="E24" s="57"/>
      <c r="F24" s="57"/>
      <c r="G24" s="57"/>
      <c r="H24" s="57"/>
      <c r="I24" s="57"/>
      <c r="J24" s="57"/>
      <c r="K24" s="57"/>
    </row>
    <row r="25" spans="2:13" ht="19.5" thickBot="1" x14ac:dyDescent="0.3">
      <c r="B25" s="1">
        <v>6</v>
      </c>
      <c r="C25" s="64" t="str">
        <f ca="1">IF(ISBLANK(INDIRECT(ADDRESS(B25*2+2,3))),"",INDIRECT(ADDRESS(B25*2+2,3)))</f>
        <v xml:space="preserve"> Фальковский</v>
      </c>
      <c r="D25" s="64"/>
      <c r="E25" s="65"/>
      <c r="F25" s="24">
        <v>12</v>
      </c>
      <c r="G25" s="25">
        <v>8</v>
      </c>
      <c r="H25" s="66" t="str">
        <f ca="1">IF(ISBLANK(INDIRECT(ADDRESS(K25*2+2,3))),"",INDIRECT(ADDRESS(K25*2+2,3)))</f>
        <v>Горбунов</v>
      </c>
      <c r="I25" s="64"/>
      <c r="J25" s="64"/>
      <c r="K25" s="1">
        <v>4</v>
      </c>
      <c r="L25" s="26" t="s">
        <v>6</v>
      </c>
      <c r="M25" s="30">
        <v>12</v>
      </c>
    </row>
    <row r="26" spans="2:13" ht="19.5" thickBot="1" x14ac:dyDescent="0.3">
      <c r="B26" s="1">
        <v>5</v>
      </c>
      <c r="C26" s="64" t="str">
        <f ca="1">IF(ISBLANK(INDIRECT(ADDRESS(B26*2+2,3))),"",INDIRECT(ADDRESS(B26*2+2,3)))</f>
        <v>Риад</v>
      </c>
      <c r="D26" s="64"/>
      <c r="E26" s="65"/>
      <c r="F26" s="24">
        <v>13</v>
      </c>
      <c r="G26" s="25">
        <v>6</v>
      </c>
      <c r="H26" s="66" t="str">
        <f ca="1">IF(ISBLANK(INDIRECT(ADDRESS(K26*2+2,3))),"",INDIRECT(ADDRESS(K26*2+2,3)))</f>
        <v>Иванов Ю</v>
      </c>
      <c r="I26" s="64"/>
      <c r="J26" s="64"/>
      <c r="K26" s="1">
        <v>3</v>
      </c>
      <c r="L26" s="26" t="s">
        <v>6</v>
      </c>
      <c r="M26" s="30">
        <v>13</v>
      </c>
    </row>
    <row r="27" spans="2:13" ht="19.5" thickBot="1" x14ac:dyDescent="0.3">
      <c r="B27" s="1">
        <v>1</v>
      </c>
      <c r="C27" s="64" t="str">
        <f ca="1">IF(ISBLANK(INDIRECT(ADDRESS(B27*2+2,3))),"",INDIRECT(ADDRESS(B27*2+2,3)))</f>
        <v xml:space="preserve"> Мишин</v>
      </c>
      <c r="D27" s="64"/>
      <c r="E27" s="65"/>
      <c r="F27" s="24">
        <v>13</v>
      </c>
      <c r="G27" s="25">
        <v>8</v>
      </c>
      <c r="H27" s="66" t="str">
        <f ca="1">IF(ISBLANK(INDIRECT(ADDRESS(K27*2+2,3))),"",INDIRECT(ADDRESS(K27*2+2,3)))</f>
        <v>Капов И</v>
      </c>
      <c r="I27" s="64"/>
      <c r="J27" s="64"/>
      <c r="K27" s="1">
        <v>2</v>
      </c>
      <c r="L27" s="26" t="s">
        <v>6</v>
      </c>
      <c r="M27" s="30">
        <v>14</v>
      </c>
    </row>
    <row r="29" spans="2:13" ht="21.75" thickBot="1" x14ac:dyDescent="0.3">
      <c r="B29" s="57" t="s">
        <v>8</v>
      </c>
      <c r="C29" s="57"/>
      <c r="D29" s="57"/>
      <c r="E29" s="57"/>
      <c r="F29" s="57"/>
      <c r="G29" s="57"/>
      <c r="H29" s="57"/>
      <c r="I29" s="57"/>
      <c r="J29" s="57"/>
      <c r="K29" s="57"/>
    </row>
    <row r="30" spans="2:13" ht="19.5" thickBot="1" x14ac:dyDescent="0.3">
      <c r="B30" s="1">
        <v>2</v>
      </c>
      <c r="C30" s="64" t="str">
        <f ca="1">IF(ISBLANK(INDIRECT(ADDRESS(B30*2+2,3))),"",INDIRECT(ADDRESS(B30*2+2,3)))</f>
        <v>Капов И</v>
      </c>
      <c r="D30" s="64"/>
      <c r="E30" s="65"/>
      <c r="F30" s="24">
        <v>13</v>
      </c>
      <c r="G30" s="25">
        <v>5</v>
      </c>
      <c r="H30" s="66" t="str">
        <f ca="1">IF(ISBLANK(INDIRECT(ADDRESS(K30*2+2,3))),"",INDIRECT(ADDRESS(K30*2+2,3)))</f>
        <v xml:space="preserve"> Фальковский</v>
      </c>
      <c r="I30" s="64"/>
      <c r="J30" s="64"/>
      <c r="K30" s="1">
        <v>6</v>
      </c>
      <c r="L30" s="26" t="s">
        <v>6</v>
      </c>
      <c r="M30" s="30">
        <v>2</v>
      </c>
    </row>
    <row r="31" spans="2:13" ht="19.5" thickBot="1" x14ac:dyDescent="0.3">
      <c r="B31" s="1">
        <v>3</v>
      </c>
      <c r="C31" s="64" t="str">
        <f ca="1">IF(ISBLANK(INDIRECT(ADDRESS(B31*2+2,3))),"",INDIRECT(ADDRESS(B31*2+2,3)))</f>
        <v>Иванов Ю</v>
      </c>
      <c r="D31" s="64"/>
      <c r="E31" s="65"/>
      <c r="F31" s="24">
        <v>13</v>
      </c>
      <c r="G31" s="25">
        <v>12</v>
      </c>
      <c r="H31" s="66" t="str">
        <f ca="1">IF(ISBLANK(INDIRECT(ADDRESS(K31*2+2,3))),"",INDIRECT(ADDRESS(K31*2+2,3)))</f>
        <v xml:space="preserve"> Мишин</v>
      </c>
      <c r="I31" s="64"/>
      <c r="J31" s="64"/>
      <c r="K31" s="1">
        <v>1</v>
      </c>
      <c r="L31" s="26" t="s">
        <v>6</v>
      </c>
      <c r="M31" s="30">
        <v>3</v>
      </c>
    </row>
    <row r="32" spans="2:13" ht="19.5" thickBot="1" x14ac:dyDescent="0.3">
      <c r="B32" s="1">
        <v>4</v>
      </c>
      <c r="C32" s="64" t="str">
        <f ca="1">IF(ISBLANK(INDIRECT(ADDRESS(B32*2+2,3))),"",INDIRECT(ADDRESS(B32*2+2,3)))</f>
        <v>Горбунов</v>
      </c>
      <c r="D32" s="64"/>
      <c r="E32" s="65"/>
      <c r="F32" s="24">
        <v>5</v>
      </c>
      <c r="G32" s="25">
        <v>13</v>
      </c>
      <c r="H32" s="66" t="str">
        <f ca="1">IF(ISBLANK(INDIRECT(ADDRESS(K32*2+2,3))),"",INDIRECT(ADDRESS(K32*2+2,3)))</f>
        <v>Риад</v>
      </c>
      <c r="I32" s="64"/>
      <c r="J32" s="64"/>
      <c r="K32" s="1">
        <v>5</v>
      </c>
      <c r="L32" s="26" t="s">
        <v>6</v>
      </c>
      <c r="M32" s="30">
        <v>4</v>
      </c>
    </row>
    <row r="34" spans="2:13" ht="21.75" thickBot="1" x14ac:dyDescent="0.3">
      <c r="B34" s="57" t="s">
        <v>9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3" ht="19.5" thickBot="1" x14ac:dyDescent="0.3">
      <c r="B35" s="1">
        <v>6</v>
      </c>
      <c r="C35" s="64" t="str">
        <f ca="1">IF(ISBLANK(INDIRECT(ADDRESS(B35*2+2,3))),"",INDIRECT(ADDRESS(B35*2+2,3)))</f>
        <v xml:space="preserve"> Фальковский</v>
      </c>
      <c r="D35" s="64"/>
      <c r="E35" s="65"/>
      <c r="F35" s="24">
        <v>5</v>
      </c>
      <c r="G35" s="25">
        <v>13</v>
      </c>
      <c r="H35" s="66" t="str">
        <f ca="1">IF(ISBLANK(INDIRECT(ADDRESS(K35*2+2,3))),"",INDIRECT(ADDRESS(K35*2+2,3)))</f>
        <v>Риад</v>
      </c>
      <c r="I35" s="64"/>
      <c r="J35" s="64"/>
      <c r="K35" s="1">
        <v>5</v>
      </c>
      <c r="L35" s="26" t="s">
        <v>6</v>
      </c>
      <c r="M35" s="30">
        <v>6</v>
      </c>
    </row>
    <row r="36" spans="2:13" ht="19.5" thickBot="1" x14ac:dyDescent="0.3">
      <c r="B36" s="1">
        <v>1</v>
      </c>
      <c r="C36" s="64" t="str">
        <f ca="1">IF(ISBLANK(INDIRECT(ADDRESS(B36*2+2,3))),"",INDIRECT(ADDRESS(B36*2+2,3)))</f>
        <v xml:space="preserve"> Мишин</v>
      </c>
      <c r="D36" s="64"/>
      <c r="E36" s="65"/>
      <c r="F36" s="24">
        <v>13</v>
      </c>
      <c r="G36" s="25">
        <v>8</v>
      </c>
      <c r="H36" s="66" t="str">
        <f ca="1">IF(ISBLANK(INDIRECT(ADDRESS(K36*2+2,3))),"",INDIRECT(ADDRESS(K36*2+2,3)))</f>
        <v>Горбунов</v>
      </c>
      <c r="I36" s="64"/>
      <c r="J36" s="64"/>
      <c r="K36" s="1">
        <v>4</v>
      </c>
      <c r="L36" s="26" t="s">
        <v>6</v>
      </c>
      <c r="M36" s="30">
        <v>7</v>
      </c>
    </row>
    <row r="37" spans="2:13" ht="19.5" thickBot="1" x14ac:dyDescent="0.3">
      <c r="B37" s="1">
        <v>2</v>
      </c>
      <c r="C37" s="64" t="str">
        <f ca="1">IF(ISBLANK(INDIRECT(ADDRESS(B37*2+2,3))),"",INDIRECT(ADDRESS(B37*2+2,3)))</f>
        <v>Капов И</v>
      </c>
      <c r="D37" s="64"/>
      <c r="E37" s="65"/>
      <c r="F37" s="24">
        <v>10</v>
      </c>
      <c r="G37" s="25">
        <v>13</v>
      </c>
      <c r="H37" s="66" t="str">
        <f ca="1">IF(ISBLANK(INDIRECT(ADDRESS(K37*2+2,3))),"",INDIRECT(ADDRESS(K37*2+2,3)))</f>
        <v>Иванов Ю</v>
      </c>
      <c r="I37" s="64"/>
      <c r="J37" s="64"/>
      <c r="K37" s="1">
        <v>3</v>
      </c>
      <c r="L37" s="26" t="s">
        <v>6</v>
      </c>
      <c r="M37" s="30">
        <v>8</v>
      </c>
    </row>
    <row r="39" spans="2:13" ht="21.75" thickBot="1" x14ac:dyDescent="0.3">
      <c r="B39" s="57" t="s">
        <v>10</v>
      </c>
      <c r="C39" s="57"/>
      <c r="D39" s="57"/>
      <c r="E39" s="57"/>
      <c r="F39" s="57"/>
      <c r="G39" s="57"/>
      <c r="H39" s="57"/>
      <c r="I39" s="57"/>
      <c r="J39" s="57"/>
      <c r="K39" s="57"/>
    </row>
    <row r="40" spans="2:13" ht="19.5" thickBot="1" x14ac:dyDescent="0.3">
      <c r="B40" s="1">
        <v>3</v>
      </c>
      <c r="C40" s="64" t="str">
        <f ca="1">IF(ISBLANK(INDIRECT(ADDRESS(B40*2+2,3))),"",INDIRECT(ADDRESS(B40*2+2,3)))</f>
        <v>Иванов Ю</v>
      </c>
      <c r="D40" s="64"/>
      <c r="E40" s="65"/>
      <c r="F40" s="24">
        <v>13</v>
      </c>
      <c r="G40" s="25">
        <v>2</v>
      </c>
      <c r="H40" s="66" t="str">
        <f ca="1">IF(ISBLANK(INDIRECT(ADDRESS(K40*2+2,3))),"",INDIRECT(ADDRESS(K40*2+2,3)))</f>
        <v xml:space="preserve"> Фальковский</v>
      </c>
      <c r="I40" s="64"/>
      <c r="J40" s="64"/>
      <c r="K40" s="1">
        <v>6</v>
      </c>
      <c r="L40" s="26" t="s">
        <v>6</v>
      </c>
      <c r="M40" s="30">
        <v>10</v>
      </c>
    </row>
    <row r="41" spans="2:13" ht="19.5" thickBot="1" x14ac:dyDescent="0.3">
      <c r="B41" s="1">
        <v>4</v>
      </c>
      <c r="C41" s="64" t="str">
        <f ca="1">IF(ISBLANK(INDIRECT(ADDRESS(B41*2+2,3))),"",INDIRECT(ADDRESS(B41*2+2,3)))</f>
        <v>Горбунов</v>
      </c>
      <c r="D41" s="64"/>
      <c r="E41" s="65"/>
      <c r="F41" s="24">
        <v>7</v>
      </c>
      <c r="G41" s="25">
        <v>13</v>
      </c>
      <c r="H41" s="66" t="str">
        <f ca="1">IF(ISBLANK(INDIRECT(ADDRESS(K41*2+2,3))),"",INDIRECT(ADDRESS(K41*2+2,3)))</f>
        <v>Капов И</v>
      </c>
      <c r="I41" s="64"/>
      <c r="J41" s="64"/>
      <c r="K41" s="1">
        <v>2</v>
      </c>
      <c r="L41" s="26" t="s">
        <v>6</v>
      </c>
      <c r="M41" s="30">
        <v>11</v>
      </c>
    </row>
    <row r="42" spans="2:13" ht="19.5" thickBot="1" x14ac:dyDescent="0.3">
      <c r="B42" s="1">
        <v>5</v>
      </c>
      <c r="C42" s="64" t="str">
        <f ca="1">IF(ISBLANK(INDIRECT(ADDRESS(B42*2+2,3))),"",INDIRECT(ADDRESS(B42*2+2,3)))</f>
        <v>Риад</v>
      </c>
      <c r="D42" s="64"/>
      <c r="E42" s="65"/>
      <c r="F42" s="24">
        <v>13</v>
      </c>
      <c r="G42" s="25">
        <v>5</v>
      </c>
      <c r="H42" s="66" t="str">
        <f ca="1">IF(ISBLANK(INDIRECT(ADDRESS(K42*2+2,3))),"",INDIRECT(ADDRESS(K42*2+2,3)))</f>
        <v xml:space="preserve"> Мишин</v>
      </c>
      <c r="I42" s="64"/>
      <c r="J42" s="64"/>
      <c r="K42" s="1">
        <v>1</v>
      </c>
      <c r="L42" s="26" t="s">
        <v>6</v>
      </c>
      <c r="M42" s="30">
        <v>12</v>
      </c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K1"/>
    <mergeCell ref="C3:E3"/>
    <mergeCell ref="B4:B5"/>
    <mergeCell ref="C4:E5"/>
    <mergeCell ref="L4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O40"/>
  <sheetViews>
    <sheetView topLeftCell="A23" workbookViewId="0">
      <selection activeCell="D36" sqref="D36"/>
    </sheetView>
  </sheetViews>
  <sheetFormatPr defaultRowHeight="15" x14ac:dyDescent="0.25"/>
  <cols>
    <col min="1" max="1" width="9.140625" style="27"/>
    <col min="2" max="15" width="9.140625" style="30" customWidth="1"/>
    <col min="16" max="16384" width="9.140625" style="30"/>
  </cols>
  <sheetData>
    <row r="1" spans="1:13" ht="45" x14ac:dyDescent="0.25">
      <c r="B1" s="42" t="s">
        <v>21</v>
      </c>
      <c r="C1" s="42"/>
      <c r="D1" s="42"/>
      <c r="E1" s="42"/>
      <c r="F1" s="42"/>
      <c r="G1" s="42"/>
      <c r="H1" s="42"/>
      <c r="I1" s="42"/>
      <c r="J1" s="42"/>
      <c r="K1" s="42"/>
    </row>
    <row r="2" spans="1:13" x14ac:dyDescent="0.25">
      <c r="C2" s="32"/>
    </row>
    <row r="3" spans="1:13" x14ac:dyDescent="0.25">
      <c r="C3" s="32"/>
    </row>
    <row r="4" spans="1:13" ht="18.75" x14ac:dyDescent="0.25">
      <c r="A4" s="27" t="s">
        <v>12</v>
      </c>
      <c r="B4" s="76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Федотов</v>
      </c>
      <c r="C4" s="75"/>
      <c r="D4" s="33">
        <v>13</v>
      </c>
      <c r="E4" s="34"/>
    </row>
    <row r="5" spans="1:13" x14ac:dyDescent="0.25">
      <c r="A5" s="27">
        <v>1</v>
      </c>
      <c r="C5" s="32"/>
      <c r="E5" s="35"/>
    </row>
    <row r="6" spans="1:13" ht="18.75" x14ac:dyDescent="0.25">
      <c r="B6" s="26" t="s">
        <v>6</v>
      </c>
      <c r="C6" s="32"/>
      <c r="E6" s="36"/>
      <c r="F6" s="74" t="str">
        <f ca="1">IF(ISBLANK(D4),"",IF(D4&gt;D8,B4,B8))</f>
        <v>Федотов</v>
      </c>
      <c r="G6" s="75"/>
      <c r="H6" s="33">
        <v>13</v>
      </c>
      <c r="I6" s="34"/>
    </row>
    <row r="7" spans="1:13" x14ac:dyDescent="0.25">
      <c r="C7" s="32"/>
      <c r="E7" s="36"/>
      <c r="I7" s="35"/>
    </row>
    <row r="8" spans="1:13" ht="18.75" x14ac:dyDescent="0.25">
      <c r="A8" s="27" t="s">
        <v>13</v>
      </c>
      <c r="B8" s="76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Иванов Ю</v>
      </c>
      <c r="C8" s="75"/>
      <c r="D8" s="33">
        <v>8</v>
      </c>
      <c r="E8" s="37"/>
      <c r="I8" s="36"/>
    </row>
    <row r="9" spans="1:13" x14ac:dyDescent="0.25">
      <c r="A9" s="27">
        <v>2</v>
      </c>
      <c r="C9" s="32"/>
      <c r="I9" s="36"/>
    </row>
    <row r="10" spans="1:13" ht="18.75" x14ac:dyDescent="0.25">
      <c r="C10" s="32"/>
      <c r="F10" s="26" t="s">
        <v>6</v>
      </c>
      <c r="G10" s="30">
        <v>9</v>
      </c>
      <c r="H10" s="32"/>
      <c r="I10" s="36"/>
      <c r="J10" s="74" t="str">
        <f ca="1">IF(ISBLANK(H6),"",IF(H6&gt;H14,F6,F14))</f>
        <v>Федотов</v>
      </c>
      <c r="K10" s="76"/>
      <c r="L10" s="33">
        <v>7</v>
      </c>
      <c r="M10" s="34"/>
    </row>
    <row r="11" spans="1:13" x14ac:dyDescent="0.25">
      <c r="C11" s="32"/>
      <c r="I11" s="36"/>
      <c r="M11" s="35"/>
    </row>
    <row r="12" spans="1:13" ht="18.75" x14ac:dyDescent="0.25">
      <c r="A12" s="27" t="s">
        <v>14</v>
      </c>
      <c r="B12" s="76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 xml:space="preserve"> Новиков А</v>
      </c>
      <c r="C12" s="75"/>
      <c r="D12" s="33">
        <v>10</v>
      </c>
      <c r="E12" s="34"/>
      <c r="I12" s="36"/>
      <c r="M12" s="36"/>
    </row>
    <row r="13" spans="1:13" x14ac:dyDescent="0.25">
      <c r="A13" s="27">
        <v>1</v>
      </c>
      <c r="C13" s="32"/>
      <c r="E13" s="35"/>
      <c r="I13" s="36"/>
      <c r="M13" s="36"/>
    </row>
    <row r="14" spans="1:13" ht="18.75" x14ac:dyDescent="0.25">
      <c r="B14" s="26" t="s">
        <v>6</v>
      </c>
      <c r="C14" s="32"/>
      <c r="E14" s="36"/>
      <c r="F14" s="74" t="str">
        <f ca="1">IF(ISBLANK(D12),"",IF(D12&gt;D16,B12,B16))</f>
        <v>Зинкеев</v>
      </c>
      <c r="G14" s="75"/>
      <c r="H14" s="33">
        <v>10</v>
      </c>
      <c r="I14" s="37"/>
      <c r="M14" s="36"/>
    </row>
    <row r="15" spans="1:13" x14ac:dyDescent="0.25">
      <c r="E15" s="36"/>
      <c r="M15" s="36"/>
    </row>
    <row r="16" spans="1:13" ht="18.75" x14ac:dyDescent="0.25">
      <c r="A16" s="27" t="s">
        <v>15</v>
      </c>
      <c r="B16" s="76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Зинкеев</v>
      </c>
      <c r="C16" s="75"/>
      <c r="D16" s="33">
        <v>13</v>
      </c>
      <c r="E16" s="37"/>
      <c r="M16" s="36"/>
    </row>
    <row r="17" spans="1:15" ht="15" customHeight="1" x14ac:dyDescent="0.25">
      <c r="A17" s="27">
        <v>2</v>
      </c>
      <c r="M17" s="36"/>
    </row>
    <row r="18" spans="1:15" ht="18.75" x14ac:dyDescent="0.25">
      <c r="B18" s="26"/>
      <c r="J18" s="26" t="s">
        <v>6</v>
      </c>
      <c r="L18" s="32"/>
      <c r="M18" s="36"/>
      <c r="N18" s="74" t="str">
        <f ca="1">IF(ISBLANK(L10),"",IF(L10&gt;L26,J10,J26))</f>
        <v xml:space="preserve"> Зорро</v>
      </c>
      <c r="O18" s="76"/>
    </row>
    <row r="19" spans="1:15" ht="15" customHeight="1" x14ac:dyDescent="0.25">
      <c r="M19" s="36"/>
    </row>
    <row r="20" spans="1:15" ht="18.75" x14ac:dyDescent="0.25">
      <c r="A20" s="27" t="s">
        <v>12</v>
      </c>
      <c r="B20" s="76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 xml:space="preserve"> Зорро</v>
      </c>
      <c r="C20" s="75"/>
      <c r="D20" s="33">
        <v>13</v>
      </c>
      <c r="E20" s="34"/>
      <c r="M20" s="36"/>
    </row>
    <row r="21" spans="1:15" ht="15" customHeight="1" x14ac:dyDescent="0.25">
      <c r="A21" s="27">
        <v>2</v>
      </c>
      <c r="E21" s="35"/>
      <c r="M21" s="36"/>
    </row>
    <row r="22" spans="1:15" ht="18.75" x14ac:dyDescent="0.25">
      <c r="B22" s="26" t="s">
        <v>6</v>
      </c>
      <c r="C22" s="32"/>
      <c r="E22" s="36"/>
      <c r="F22" s="74" t="str">
        <f ca="1">IF(ISBLANK(D20),"",IF(D20&gt;D24,B20,B24))</f>
        <v xml:space="preserve"> Зорро</v>
      </c>
      <c r="G22" s="75"/>
      <c r="H22" s="33">
        <v>13</v>
      </c>
      <c r="I22" s="34"/>
      <c r="M22" s="36"/>
    </row>
    <row r="23" spans="1:15" ht="15" customHeight="1" x14ac:dyDescent="0.25">
      <c r="E23" s="36"/>
      <c r="I23" s="35"/>
      <c r="M23" s="36"/>
    </row>
    <row r="24" spans="1:15" ht="18.75" x14ac:dyDescent="0.25">
      <c r="A24" s="27" t="s">
        <v>15</v>
      </c>
      <c r="B24" s="76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Северов</v>
      </c>
      <c r="C24" s="75"/>
      <c r="D24" s="33">
        <v>9</v>
      </c>
      <c r="E24" s="37"/>
      <c r="I24" s="36"/>
      <c r="M24" s="36"/>
    </row>
    <row r="25" spans="1:15" ht="15" customHeight="1" x14ac:dyDescent="0.25">
      <c r="A25" s="27">
        <v>1</v>
      </c>
      <c r="I25" s="36"/>
      <c r="M25" s="36"/>
    </row>
    <row r="26" spans="1:15" ht="18.75" x14ac:dyDescent="0.25">
      <c r="F26" s="26" t="s">
        <v>6</v>
      </c>
      <c r="G26" s="30">
        <v>10</v>
      </c>
      <c r="H26" s="32"/>
      <c r="I26" s="36"/>
      <c r="J26" s="74" t="str">
        <f ca="1">IF(ISBLANK(H22),"",IF(H22&gt;H30,F22,F30))</f>
        <v xml:space="preserve"> Зорро</v>
      </c>
      <c r="K26" s="75"/>
      <c r="L26" s="33">
        <v>13</v>
      </c>
      <c r="M26" s="37"/>
    </row>
    <row r="27" spans="1:15" ht="15" customHeight="1" x14ac:dyDescent="0.25">
      <c r="I27" s="36"/>
    </row>
    <row r="28" spans="1:15" ht="18.75" x14ac:dyDescent="0.25">
      <c r="A28" s="27" t="s">
        <v>14</v>
      </c>
      <c r="B28" s="76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Пелевин А</v>
      </c>
      <c r="C28" s="75"/>
      <c r="D28" s="33">
        <v>13</v>
      </c>
      <c r="E28" s="34"/>
      <c r="I28" s="36"/>
    </row>
    <row r="29" spans="1:15" ht="15" customHeight="1" x14ac:dyDescent="0.25">
      <c r="A29" s="27">
        <v>2</v>
      </c>
      <c r="E29" s="35"/>
      <c r="I29" s="36"/>
    </row>
    <row r="30" spans="1:15" ht="18.75" x14ac:dyDescent="0.25">
      <c r="B30" s="26" t="s">
        <v>6</v>
      </c>
      <c r="C30" s="32"/>
      <c r="E30" s="36"/>
      <c r="F30" s="74" t="str">
        <f ca="1">IF(ISBLANK(D28),"",IF(D28&gt;D32,B28,B32))</f>
        <v>Пелевин А</v>
      </c>
      <c r="G30" s="75"/>
      <c r="H30" s="33">
        <v>10</v>
      </c>
      <c r="I30" s="37"/>
    </row>
    <row r="31" spans="1:15" ht="15" customHeight="1" x14ac:dyDescent="0.25">
      <c r="E31" s="36"/>
    </row>
    <row r="32" spans="1:15" ht="18.75" x14ac:dyDescent="0.25">
      <c r="A32" s="27" t="s">
        <v>13</v>
      </c>
      <c r="B32" s="76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Риад</v>
      </c>
      <c r="C32" s="75"/>
      <c r="D32" s="33">
        <v>5</v>
      </c>
      <c r="E32" s="37"/>
    </row>
    <row r="33" spans="1:7" x14ac:dyDescent="0.25">
      <c r="A33" s="27">
        <v>1</v>
      </c>
    </row>
    <row r="36" spans="1:7" ht="18.75" x14ac:dyDescent="0.25">
      <c r="B36" s="76" t="str">
        <f ca="1">IF(ISBLANK(H6),"",IF(H6&gt;H14,F14,F6))</f>
        <v>Зинкеев</v>
      </c>
      <c r="C36" s="75"/>
      <c r="D36" s="33">
        <v>8</v>
      </c>
      <c r="E36" s="34"/>
      <c r="F36" s="77"/>
      <c r="G36" s="77"/>
    </row>
    <row r="37" spans="1:7" x14ac:dyDescent="0.25">
      <c r="E37" s="35"/>
    </row>
    <row r="38" spans="1:7" ht="18.75" x14ac:dyDescent="0.25">
      <c r="B38" s="26" t="s">
        <v>6</v>
      </c>
      <c r="E38" s="36"/>
      <c r="F38" s="74" t="str">
        <f ca="1">IF(ISBLANK(D36),"",IF(D36&gt;D40,B36,B40))</f>
        <v>Пелевин А</v>
      </c>
      <c r="G38" s="76"/>
    </row>
    <row r="39" spans="1:7" x14ac:dyDescent="0.25">
      <c r="E39" s="36"/>
    </row>
    <row r="40" spans="1:7" ht="18.75" x14ac:dyDescent="0.25">
      <c r="B40" s="76" t="str">
        <f ca="1">IF(ISBLANK(H22),"",IF(H22&gt;H30,F30,F22))</f>
        <v>Пелевин А</v>
      </c>
      <c r="C40" s="75"/>
      <c r="D40" s="33">
        <v>13</v>
      </c>
      <c r="E40" s="37"/>
    </row>
  </sheetData>
  <mergeCells count="20">
    <mergeCell ref="N18:O18"/>
    <mergeCell ref="B20:C20"/>
    <mergeCell ref="F22:G22"/>
    <mergeCell ref="B24:C24"/>
    <mergeCell ref="B40:C40"/>
    <mergeCell ref="B28:C28"/>
    <mergeCell ref="F30:G30"/>
    <mergeCell ref="B32:C32"/>
    <mergeCell ref="B36:C36"/>
    <mergeCell ref="F36:G36"/>
    <mergeCell ref="F38:G38"/>
    <mergeCell ref="J26:K26"/>
    <mergeCell ref="F14:G14"/>
    <mergeCell ref="B16:C16"/>
    <mergeCell ref="B1:K1"/>
    <mergeCell ref="B4:C4"/>
    <mergeCell ref="F6:G6"/>
    <mergeCell ref="B8:C8"/>
    <mergeCell ref="J10:K10"/>
    <mergeCell ref="B12: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O40"/>
  <sheetViews>
    <sheetView tabSelected="1" topLeftCell="A18" workbookViewId="0">
      <selection activeCell="O20" sqref="O20"/>
    </sheetView>
  </sheetViews>
  <sheetFormatPr defaultRowHeight="15" x14ac:dyDescent="0.25"/>
  <cols>
    <col min="1" max="1" width="9.140625" style="39"/>
    <col min="2" max="15" width="9.140625" style="30" customWidth="1"/>
    <col min="16" max="16384" width="9.140625" style="30"/>
  </cols>
  <sheetData>
    <row r="1" spans="1:13" ht="45" x14ac:dyDescent="0.25">
      <c r="B1" s="42" t="s">
        <v>20</v>
      </c>
      <c r="C1" s="42"/>
      <c r="D1" s="42"/>
      <c r="E1" s="42"/>
      <c r="F1" s="42"/>
      <c r="G1" s="42"/>
      <c r="H1" s="42"/>
      <c r="I1" s="42"/>
      <c r="J1" s="42"/>
      <c r="K1" s="42"/>
    </row>
    <row r="2" spans="1:13" x14ac:dyDescent="0.25">
      <c r="C2" s="32"/>
    </row>
    <row r="3" spans="1:13" x14ac:dyDescent="0.25">
      <c r="C3" s="32"/>
    </row>
    <row r="4" spans="1:13" ht="18.75" x14ac:dyDescent="0.25">
      <c r="A4" s="39" t="s">
        <v>12</v>
      </c>
      <c r="B4" s="76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Захаров</v>
      </c>
      <c r="C4" s="75"/>
      <c r="D4" s="33">
        <v>3</v>
      </c>
      <c r="E4" s="34"/>
    </row>
    <row r="5" spans="1:13" x14ac:dyDescent="0.25">
      <c r="A5" s="39">
        <v>3</v>
      </c>
      <c r="C5" s="32"/>
      <c r="E5" s="35"/>
    </row>
    <row r="6" spans="1:13" ht="18.75" x14ac:dyDescent="0.25">
      <c r="B6" s="26" t="s">
        <v>6</v>
      </c>
      <c r="C6" s="32"/>
      <c r="E6" s="36"/>
      <c r="F6" s="74" t="str">
        <f ca="1">IF(ISBLANK(D4),"",IF(D4&gt;D8,B4,B8))</f>
        <v>Капов И</v>
      </c>
      <c r="G6" s="75"/>
      <c r="H6" s="33">
        <v>13</v>
      </c>
      <c r="I6" s="34"/>
    </row>
    <row r="7" spans="1:13" x14ac:dyDescent="0.25">
      <c r="E7" s="36"/>
      <c r="I7" s="35"/>
    </row>
    <row r="8" spans="1:13" ht="18.75" x14ac:dyDescent="0.25">
      <c r="A8" s="39" t="s">
        <v>13</v>
      </c>
      <c r="B8" s="76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Капов И</v>
      </c>
      <c r="C8" s="75"/>
      <c r="D8" s="33">
        <v>13</v>
      </c>
      <c r="E8" s="37"/>
      <c r="I8" s="36"/>
    </row>
    <row r="9" spans="1:13" x14ac:dyDescent="0.25">
      <c r="A9" s="39">
        <v>4</v>
      </c>
      <c r="I9" s="36"/>
    </row>
    <row r="10" spans="1:13" ht="18.75" x14ac:dyDescent="0.25">
      <c r="C10" s="32"/>
      <c r="F10" s="26" t="s">
        <v>6</v>
      </c>
      <c r="G10" s="30">
        <v>3</v>
      </c>
      <c r="H10" s="32"/>
      <c r="I10" s="36"/>
      <c r="J10" s="74" t="str">
        <f ca="1">IF(ISBLANK(H6),"",IF(H6&gt;H14,F6,F14))</f>
        <v>Капов И</v>
      </c>
      <c r="K10" s="76"/>
      <c r="L10" s="33">
        <v>6</v>
      </c>
      <c r="M10" s="34"/>
    </row>
    <row r="11" spans="1:13" x14ac:dyDescent="0.25">
      <c r="C11" s="32"/>
      <c r="I11" s="36"/>
      <c r="M11" s="35"/>
    </row>
    <row r="12" spans="1:13" ht="18.75" x14ac:dyDescent="0.25">
      <c r="A12" s="39" t="s">
        <v>14</v>
      </c>
      <c r="B12" s="76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Большаков В</v>
      </c>
      <c r="C12" s="75"/>
      <c r="D12" s="33">
        <v>6</v>
      </c>
      <c r="E12" s="34"/>
      <c r="I12" s="36"/>
      <c r="M12" s="36"/>
    </row>
    <row r="13" spans="1:13" x14ac:dyDescent="0.25">
      <c r="A13" s="39">
        <v>3</v>
      </c>
      <c r="C13" s="32"/>
      <c r="E13" s="35"/>
      <c r="I13" s="36"/>
      <c r="M13" s="36"/>
    </row>
    <row r="14" spans="1:13" ht="18.75" x14ac:dyDescent="0.25">
      <c r="B14" s="26" t="s">
        <v>6</v>
      </c>
      <c r="C14" s="32"/>
      <c r="E14" s="36"/>
      <c r="F14" s="74" t="str">
        <f ca="1">IF(ISBLANK(D12),"",IF(D12&gt;D16,B12,B16))</f>
        <v>Минькач</v>
      </c>
      <c r="G14" s="75"/>
      <c r="H14" s="33">
        <v>8</v>
      </c>
      <c r="I14" s="37"/>
      <c r="M14" s="36"/>
    </row>
    <row r="15" spans="1:13" x14ac:dyDescent="0.25">
      <c r="E15" s="36"/>
      <c r="M15" s="36"/>
    </row>
    <row r="16" spans="1:13" ht="18.75" x14ac:dyDescent="0.25">
      <c r="A16" s="39" t="s">
        <v>15</v>
      </c>
      <c r="B16" s="76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Минькач</v>
      </c>
      <c r="C16" s="75"/>
      <c r="D16" s="33">
        <v>13</v>
      </c>
      <c r="E16" s="37"/>
      <c r="M16" s="36"/>
    </row>
    <row r="17" spans="1:15" ht="15" customHeight="1" x14ac:dyDescent="0.25">
      <c r="A17" s="39">
        <v>4</v>
      </c>
      <c r="M17" s="36"/>
    </row>
    <row r="18" spans="1:15" ht="18.75" x14ac:dyDescent="0.25">
      <c r="B18" s="26"/>
      <c r="J18" s="26" t="s">
        <v>6</v>
      </c>
      <c r="L18" s="32"/>
      <c r="M18" s="36"/>
      <c r="N18" s="74" t="str">
        <f ca="1">IF(ISBLANK(L10),"",IF(L10&gt;L26,J10,J26))</f>
        <v>Кувакин</v>
      </c>
      <c r="O18" s="76"/>
    </row>
    <row r="19" spans="1:15" ht="15" customHeight="1" x14ac:dyDescent="0.25">
      <c r="M19" s="36"/>
    </row>
    <row r="20" spans="1:15" ht="18.75" x14ac:dyDescent="0.25">
      <c r="A20" s="39" t="s">
        <v>12</v>
      </c>
      <c r="B20" s="76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Домбровский С</v>
      </c>
      <c r="C20" s="75"/>
      <c r="D20" s="33">
        <v>10</v>
      </c>
      <c r="E20" s="34"/>
      <c r="M20" s="36"/>
    </row>
    <row r="21" spans="1:15" ht="15" customHeight="1" x14ac:dyDescent="0.25">
      <c r="A21" s="39">
        <v>4</v>
      </c>
      <c r="E21" s="35"/>
      <c r="M21" s="36"/>
    </row>
    <row r="22" spans="1:15" ht="18.75" x14ac:dyDescent="0.25">
      <c r="B22" s="26" t="s">
        <v>6</v>
      </c>
      <c r="C22" s="32"/>
      <c r="E22" s="36"/>
      <c r="F22" s="74" t="str">
        <f ca="1">IF(ISBLANK(D20),"",IF(D20&gt;D24,B20,B24))</f>
        <v>Кувакин</v>
      </c>
      <c r="G22" s="75"/>
      <c r="H22" s="33">
        <v>13</v>
      </c>
      <c r="I22" s="34"/>
      <c r="M22" s="36"/>
    </row>
    <row r="23" spans="1:15" ht="15" customHeight="1" x14ac:dyDescent="0.25">
      <c r="E23" s="36"/>
      <c r="I23" s="35"/>
      <c r="M23" s="36"/>
    </row>
    <row r="24" spans="1:15" ht="18.75" x14ac:dyDescent="0.25">
      <c r="A24" s="39" t="s">
        <v>15</v>
      </c>
      <c r="B24" s="76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Кувакин</v>
      </c>
      <c r="C24" s="75"/>
      <c r="D24" s="33">
        <v>13</v>
      </c>
      <c r="E24" s="37"/>
      <c r="I24" s="36"/>
      <c r="M24" s="36"/>
    </row>
    <row r="25" spans="1:15" ht="15" customHeight="1" x14ac:dyDescent="0.25">
      <c r="A25" s="39">
        <v>3</v>
      </c>
      <c r="I25" s="36"/>
      <c r="M25" s="36"/>
    </row>
    <row r="26" spans="1:15" ht="18.75" x14ac:dyDescent="0.25">
      <c r="F26" s="26" t="s">
        <v>6</v>
      </c>
      <c r="G26" s="30">
        <v>4</v>
      </c>
      <c r="H26" s="32"/>
      <c r="I26" s="36"/>
      <c r="J26" s="74" t="str">
        <f ca="1">IF(ISBLANK(H22),"",IF(H22&gt;H30,F22,F30))</f>
        <v>Кувакин</v>
      </c>
      <c r="K26" s="75"/>
      <c r="L26" s="33">
        <v>13</v>
      </c>
      <c r="M26" s="37"/>
    </row>
    <row r="27" spans="1:15" ht="15" customHeight="1" x14ac:dyDescent="0.25">
      <c r="I27" s="36"/>
    </row>
    <row r="28" spans="1:15" ht="18.75" x14ac:dyDescent="0.25">
      <c r="A28" s="39" t="s">
        <v>14</v>
      </c>
      <c r="B28" s="76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Балахтин</v>
      </c>
      <c r="C28" s="75"/>
      <c r="D28" s="33">
        <v>11</v>
      </c>
      <c r="E28" s="34"/>
      <c r="I28" s="36"/>
    </row>
    <row r="29" spans="1:15" ht="15" customHeight="1" x14ac:dyDescent="0.25">
      <c r="A29" s="39">
        <v>4</v>
      </c>
      <c r="E29" s="35"/>
      <c r="I29" s="36"/>
    </row>
    <row r="30" spans="1:15" ht="18.75" x14ac:dyDescent="0.25">
      <c r="B30" s="26" t="s">
        <v>6</v>
      </c>
      <c r="C30" s="32"/>
      <c r="E30" s="36"/>
      <c r="F30" s="74" t="str">
        <f ca="1">IF(ISBLANK(D28),"",IF(D28&gt;D32,B28,B32))</f>
        <v xml:space="preserve"> Мишин</v>
      </c>
      <c r="G30" s="75"/>
      <c r="H30" s="33">
        <v>12</v>
      </c>
      <c r="I30" s="37"/>
    </row>
    <row r="31" spans="1:15" ht="15" customHeight="1" x14ac:dyDescent="0.25">
      <c r="E31" s="36"/>
    </row>
    <row r="32" spans="1:15" ht="18.75" x14ac:dyDescent="0.25">
      <c r="A32" s="39" t="s">
        <v>13</v>
      </c>
      <c r="B32" s="76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 xml:space="preserve"> Мишин</v>
      </c>
      <c r="C32" s="75"/>
      <c r="D32" s="33">
        <v>13</v>
      </c>
      <c r="E32" s="37"/>
    </row>
    <row r="33" spans="1:7" x14ac:dyDescent="0.25">
      <c r="A33" s="39">
        <v>3</v>
      </c>
    </row>
    <row r="36" spans="1:7" x14ac:dyDescent="0.25">
      <c r="B36"/>
      <c r="C36"/>
      <c r="D36"/>
      <c r="E36"/>
      <c r="F36"/>
      <c r="G36"/>
    </row>
    <row r="37" spans="1:7" x14ac:dyDescent="0.25">
      <c r="B37"/>
      <c r="C37"/>
      <c r="D37" t="s">
        <v>28</v>
      </c>
      <c r="E37">
        <v>13</v>
      </c>
      <c r="F37"/>
      <c r="G37"/>
    </row>
    <row r="38" spans="1:7" x14ac:dyDescent="0.25">
      <c r="B38"/>
      <c r="D38"/>
      <c r="E38"/>
      <c r="F38"/>
      <c r="G38"/>
    </row>
    <row r="39" spans="1:7" x14ac:dyDescent="0.25">
      <c r="B39"/>
      <c r="C39"/>
      <c r="D39" t="s">
        <v>44</v>
      </c>
      <c r="E39">
        <v>12</v>
      </c>
      <c r="F39"/>
      <c r="G39"/>
    </row>
    <row r="40" spans="1:7" x14ac:dyDescent="0.25">
      <c r="B40"/>
      <c r="C40"/>
      <c r="D40"/>
      <c r="E40"/>
      <c r="F40"/>
      <c r="G40"/>
    </row>
  </sheetData>
  <mergeCells count="16">
    <mergeCell ref="B32:C32"/>
    <mergeCell ref="B4:C4"/>
    <mergeCell ref="B8:C8"/>
    <mergeCell ref="B20:C20"/>
    <mergeCell ref="F22:G22"/>
    <mergeCell ref="B24:C24"/>
    <mergeCell ref="B1:K1"/>
    <mergeCell ref="N18:O18"/>
    <mergeCell ref="J26:K26"/>
    <mergeCell ref="B28:C28"/>
    <mergeCell ref="F30:G30"/>
    <mergeCell ref="F6:G6"/>
    <mergeCell ref="J10:K10"/>
    <mergeCell ref="B12:C12"/>
    <mergeCell ref="F14:G14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X</vt:lpstr>
      <vt:lpstr>C</vt:lpstr>
      <vt:lpstr>D</vt:lpstr>
      <vt:lpstr>A</vt:lpstr>
      <vt:lpstr>B</vt:lpstr>
      <vt:lpstr>KA</vt:lpstr>
      <vt:lpstr>KB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2013-04-20T08:50:15Z</dcterms:created>
  <dcterms:modified xsi:type="dcterms:W3CDTF">2023-06-25T20:11:29Z</dcterms:modified>
</cp:coreProperties>
</file>