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200" windowHeight="8145" firstSheet="2" activeTab="7"/>
  </bookViews>
  <sheets>
    <sheet name="ОРТ Выборг муж" sheetId="64" r:id="rId1"/>
    <sheet name="Итоги ОРТ Выборг муж" sheetId="50" r:id="rId2"/>
    <sheet name="ОРТ Выборг группа А жен" sheetId="65" r:id="rId3"/>
    <sheet name="ОРТ Выборг группа В жен" sheetId="58" r:id="rId4"/>
    <sheet name="ОРТ Выборг кубок А жен" sheetId="60" r:id="rId5"/>
    <sheet name="ОРТ ВЫборг кубок В жен" sheetId="61" r:id="rId6"/>
    <sheet name="ОРТ ВЫборг кубок С жен" sheetId="68" r:id="rId7"/>
    <sheet name="Итоги ОРТ Выборг жен" sheetId="66" r:id="rId8"/>
    <sheet name="Служебный лист" sheetId="4" state="hidden" r:id="rId9"/>
  </sheets>
  <calcPr calcId="114210"/>
</workbook>
</file>

<file path=xl/calcChain.xml><?xml version="1.0" encoding="utf-8"?>
<calcChain xmlns="http://schemas.openxmlformats.org/spreadsheetml/2006/main">
  <c r="F6" i="68"/>
  <c r="F14"/>
  <c r="J10"/>
  <c r="B20"/>
  <c r="F22"/>
  <c r="B24"/>
  <c r="G4" i="65"/>
  <c r="H4"/>
  <c r="I4"/>
  <c r="J4"/>
  <c r="G5"/>
  <c r="H5"/>
  <c r="I5"/>
  <c r="J5"/>
  <c r="K4"/>
  <c r="L5"/>
  <c r="F6"/>
  <c r="H6"/>
  <c r="I6"/>
  <c r="J6"/>
  <c r="F7"/>
  <c r="H7"/>
  <c r="I7"/>
  <c r="J7"/>
  <c r="K6"/>
  <c r="L7"/>
  <c r="F8"/>
  <c r="G8"/>
  <c r="I8"/>
  <c r="J8"/>
  <c r="F9"/>
  <c r="G9"/>
  <c r="I9"/>
  <c r="J9"/>
  <c r="K8"/>
  <c r="L9"/>
  <c r="F10"/>
  <c r="G10"/>
  <c r="H10"/>
  <c r="J10"/>
  <c r="F11"/>
  <c r="G11"/>
  <c r="H11"/>
  <c r="J11"/>
  <c r="K10"/>
  <c r="L11"/>
  <c r="F12"/>
  <c r="G12"/>
  <c r="H12"/>
  <c r="I12"/>
  <c r="F13"/>
  <c r="G13"/>
  <c r="H13"/>
  <c r="I13"/>
  <c r="K12"/>
  <c r="L13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G12" i="64"/>
  <c r="G10"/>
  <c r="I16"/>
  <c r="I4"/>
  <c r="I14"/>
  <c r="L8"/>
  <c r="H16"/>
  <c r="L4"/>
  <c r="F10"/>
  <c r="M12"/>
  <c r="K6"/>
  <c r="J16"/>
  <c r="K12"/>
  <c r="F14"/>
  <c r="H18"/>
  <c r="I8"/>
  <c r="G14"/>
  <c r="J4"/>
  <c r="M16"/>
  <c r="J6"/>
  <c r="G8"/>
  <c r="M6"/>
  <c r="J10"/>
  <c r="K8"/>
  <c r="M10"/>
  <c r="L12"/>
  <c r="I6"/>
  <c r="F12"/>
  <c r="L18"/>
  <c r="F18"/>
  <c r="F8"/>
  <c r="L10"/>
  <c r="J14"/>
  <c r="J18"/>
  <c r="K4"/>
  <c r="K10"/>
  <c r="K18"/>
  <c r="J8"/>
  <c r="H12"/>
  <c r="G18"/>
  <c r="G4"/>
  <c r="M8"/>
  <c r="M4"/>
  <c r="G16"/>
  <c r="L6"/>
  <c r="I12"/>
  <c r="L14"/>
  <c r="H10"/>
  <c r="M14"/>
  <c r="H6"/>
  <c r="K16"/>
  <c r="H14"/>
  <c r="H4"/>
  <c r="F16"/>
  <c r="F6"/>
  <c r="I18"/>
  <c r="I7"/>
  <c r="M5"/>
  <c r="G17"/>
  <c r="K19"/>
  <c r="L5"/>
  <c r="J19"/>
  <c r="F19"/>
  <c r="G11"/>
  <c r="L9"/>
  <c r="H11"/>
  <c r="M11"/>
  <c r="I13"/>
  <c r="M9"/>
  <c r="M17"/>
  <c r="J9"/>
  <c r="H63"/>
  <c r="C55"/>
  <c r="H50"/>
  <c r="H37"/>
  <c r="L7"/>
  <c r="H17"/>
  <c r="G9"/>
  <c r="K11"/>
  <c r="H13"/>
  <c r="F13"/>
  <c r="H15"/>
  <c r="H19"/>
  <c r="J5"/>
  <c r="L15"/>
  <c r="I9"/>
  <c r="G15"/>
  <c r="G5"/>
  <c r="J17"/>
  <c r="G19"/>
  <c r="J11"/>
  <c r="K7"/>
  <c r="M7"/>
  <c r="F7"/>
  <c r="G13"/>
  <c r="M13"/>
  <c r="C36"/>
  <c r="C63"/>
  <c r="H33"/>
  <c r="H30"/>
  <c r="C39"/>
  <c r="C33"/>
  <c r="F17"/>
  <c r="C24"/>
  <c r="C42"/>
  <c r="I17"/>
  <c r="L13"/>
  <c r="K5"/>
  <c r="H5"/>
  <c r="L19"/>
  <c r="K17"/>
  <c r="M15"/>
  <c r="K9"/>
  <c r="F9"/>
  <c r="J7"/>
  <c r="I15"/>
  <c r="C45"/>
  <c r="C51"/>
  <c r="H42"/>
  <c r="C49"/>
  <c r="H55"/>
  <c r="H25"/>
  <c r="H31"/>
  <c r="C32"/>
  <c r="H54"/>
  <c r="H27"/>
  <c r="C43"/>
  <c r="H38"/>
  <c r="H24"/>
  <c r="C48"/>
  <c r="H7"/>
  <c r="L11"/>
  <c r="J15"/>
  <c r="F11"/>
  <c r="I5"/>
  <c r="F15"/>
  <c r="I19"/>
  <c r="K13"/>
  <c r="C44"/>
  <c r="H49"/>
  <c r="H26"/>
  <c r="H51"/>
  <c r="H45"/>
  <c r="C25"/>
  <c r="C56"/>
  <c r="C61"/>
  <c r="H43"/>
  <c r="H56"/>
  <c r="C50"/>
  <c r="H39"/>
  <c r="C31"/>
  <c r="C62"/>
  <c r="H60"/>
  <c r="H36"/>
  <c r="H48"/>
  <c r="C30"/>
  <c r="H32"/>
  <c r="C57"/>
  <c r="H61"/>
  <c r="C37"/>
  <c r="C26"/>
  <c r="C27"/>
  <c r="H57"/>
  <c r="C60"/>
  <c r="C38"/>
  <c r="O15"/>
  <c r="N14"/>
  <c r="N8"/>
  <c r="O9"/>
  <c r="N10"/>
  <c r="O11"/>
  <c r="N6"/>
  <c r="O7"/>
  <c r="N16"/>
  <c r="O17"/>
  <c r="O19"/>
  <c r="N18"/>
  <c r="O13"/>
  <c r="N12"/>
  <c r="O5"/>
  <c r="N4"/>
  <c r="H44"/>
  <c r="C54"/>
  <c r="H62"/>
  <c r="F6" i="61"/>
  <c r="J10"/>
  <c r="F14"/>
  <c r="B20"/>
  <c r="B24"/>
  <c r="F22"/>
  <c r="G4" i="58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F6" i="60"/>
  <c r="J10"/>
  <c r="F14"/>
  <c r="N18"/>
  <c r="F22"/>
  <c r="J26"/>
  <c r="F30"/>
  <c r="B36"/>
  <c r="F38"/>
  <c r="B40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O25"/>
  <c r="S25"/>
  <c r="S26"/>
  <c r="O26"/>
  <c r="AB17"/>
  <c r="AB18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AB26"/>
  <c r="P26"/>
  <c r="L26"/>
  <c r="R20"/>
  <c r="Y26"/>
  <c r="AA11"/>
  <c r="AB21"/>
  <c r="AB24"/>
  <c r="R18"/>
  <c r="AA19"/>
  <c r="AA13"/>
  <c r="U25"/>
  <c r="AB25"/>
  <c r="X26"/>
  <c r="R21"/>
  <c r="S22"/>
  <c r="S11"/>
  <c r="AA14"/>
  <c r="R23"/>
  <c r="V23"/>
  <c r="P25"/>
  <c r="AA26"/>
  <c r="R11"/>
  <c r="V25"/>
  <c r="W26"/>
  <c r="U23"/>
  <c r="S16"/>
  <c r="S13"/>
  <c r="M24"/>
  <c r="R24"/>
  <c r="V24"/>
  <c r="AA16"/>
  <c r="AA25"/>
  <c r="S14"/>
  <c r="Z23"/>
  <c r="R26"/>
  <c r="AB12"/>
  <c r="W23"/>
  <c r="Z26"/>
  <c r="Z24"/>
  <c r="AB23"/>
  <c r="N24"/>
  <c r="AB16"/>
  <c r="X25"/>
  <c r="R12"/>
  <c r="R13"/>
  <c r="R25"/>
  <c r="S18"/>
  <c r="AB13"/>
  <c r="S23"/>
  <c r="U26"/>
  <c r="L25"/>
  <c r="R17"/>
  <c r="R16"/>
  <c r="Q25"/>
  <c r="S21"/>
  <c r="W25"/>
  <c r="AA21"/>
  <c r="O24"/>
  <c r="AA12"/>
  <c r="S19"/>
  <c r="R15"/>
  <c r="AB20"/>
  <c r="S15"/>
  <c r="Y23"/>
  <c r="AB22"/>
  <c r="R19"/>
  <c r="X23"/>
  <c r="Y24"/>
  <c r="Z25"/>
  <c r="O23"/>
  <c r="S20"/>
  <c r="AA15"/>
  <c r="W24"/>
  <c r="S24"/>
  <c r="M26"/>
  <c r="P24"/>
  <c r="Q26"/>
  <c r="N25"/>
  <c r="AB15"/>
  <c r="X24"/>
  <c r="N23"/>
  <c r="S12"/>
  <c r="N26"/>
  <c r="AA18"/>
  <c r="AB11"/>
  <c r="AA24"/>
  <c r="L23"/>
  <c r="Q24"/>
  <c r="R14"/>
  <c r="AA17"/>
  <c r="M23"/>
  <c r="P23"/>
  <c r="M25"/>
  <c r="R22"/>
  <c r="S17"/>
  <c r="Y25"/>
  <c r="U24"/>
  <c r="V26"/>
  <c r="AB19"/>
  <c r="L24"/>
  <c r="Q23"/>
  <c r="AA22"/>
  <c r="AA20"/>
  <c r="AB14"/>
  <c r="AA23"/>
  <c r="Q40"/>
  <c r="L41"/>
  <c r="S34"/>
  <c r="R39"/>
  <c r="M42"/>
  <c r="P40"/>
  <c r="M40"/>
  <c r="R31"/>
  <c r="Q41"/>
  <c r="L40"/>
  <c r="N43"/>
  <c r="S29"/>
  <c r="N40"/>
  <c r="N42"/>
  <c r="Q43"/>
  <c r="P41"/>
  <c r="M43"/>
  <c r="S41"/>
  <c r="S37"/>
  <c r="O40"/>
  <c r="R36"/>
  <c r="S32"/>
  <c r="R32"/>
  <c r="S36"/>
  <c r="O41"/>
  <c r="S38"/>
  <c r="Q42"/>
  <c r="R33"/>
  <c r="R34"/>
  <c r="L42"/>
  <c r="S40"/>
  <c r="S35"/>
  <c r="R42"/>
  <c r="R30"/>
  <c r="R29"/>
  <c r="O42"/>
  <c r="N41"/>
  <c r="R43"/>
  <c r="S31"/>
  <c r="R41"/>
  <c r="M41"/>
  <c r="S30"/>
  <c r="S33"/>
  <c r="R28"/>
  <c r="P42"/>
  <c r="R40"/>
  <c r="S28"/>
  <c r="S39"/>
  <c r="R38"/>
  <c r="O43"/>
  <c r="S42"/>
  <c r="R35"/>
  <c r="R37"/>
  <c r="L43"/>
  <c r="P43"/>
  <c r="S43"/>
  <c r="A6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P12"/>
  <c r="Y21"/>
  <c r="X18"/>
  <c r="V22"/>
  <c r="V17"/>
  <c r="Q21"/>
  <c r="L22"/>
  <c r="Z12"/>
  <c r="O14"/>
  <c r="N22"/>
  <c r="Y20"/>
  <c r="U18"/>
  <c r="V20"/>
  <c r="Q20"/>
  <c r="N21"/>
  <c r="Z15"/>
  <c r="P17"/>
  <c r="U20"/>
  <c r="Z20"/>
  <c r="Y13"/>
  <c r="Z13"/>
  <c r="P16"/>
  <c r="U17"/>
  <c r="P20"/>
  <c r="Y11"/>
  <c r="P21"/>
  <c r="Q13"/>
  <c r="Z16"/>
  <c r="U21"/>
  <c r="Z18"/>
  <c r="L18"/>
  <c r="P18"/>
  <c r="X22"/>
  <c r="Z11"/>
  <c r="N19"/>
  <c r="O21"/>
  <c r="X19"/>
  <c r="Q22"/>
  <c r="W21"/>
  <c r="W17"/>
  <c r="Q11"/>
  <c r="Q15"/>
  <c r="Y22"/>
  <c r="O16"/>
  <c r="L19"/>
  <c r="Q16"/>
  <c r="W18"/>
  <c r="P11"/>
  <c r="O15"/>
  <c r="Y16"/>
  <c r="L21"/>
  <c r="Y19"/>
  <c r="Z19"/>
  <c r="N18"/>
  <c r="V19"/>
  <c r="Y12"/>
  <c r="P22"/>
  <c r="Y17"/>
  <c r="M17"/>
  <c r="Q12"/>
  <c r="P15"/>
  <c r="Q18"/>
  <c r="O19"/>
  <c r="O11"/>
  <c r="V18"/>
  <c r="W22"/>
  <c r="P14"/>
  <c r="Y18"/>
  <c r="Q14"/>
  <c r="Y15"/>
  <c r="U19"/>
  <c r="O18"/>
  <c r="X14"/>
  <c r="Z21"/>
  <c r="M21"/>
  <c r="M18"/>
  <c r="X12"/>
  <c r="X15"/>
  <c r="L20"/>
  <c r="Z17"/>
  <c r="X11"/>
  <c r="N17"/>
  <c r="X20"/>
  <c r="O20"/>
  <c r="O22"/>
  <c r="O13"/>
  <c r="M22"/>
  <c r="N20"/>
  <c r="Z14"/>
  <c r="M19"/>
  <c r="O17"/>
  <c r="O12"/>
  <c r="P13"/>
  <c r="V21"/>
  <c r="W19"/>
  <c r="P19"/>
  <c r="X17"/>
  <c r="M20"/>
  <c r="L17"/>
  <c r="W20"/>
  <c r="Y14"/>
  <c r="Z22"/>
  <c r="Q19"/>
  <c r="U22"/>
  <c r="X16"/>
  <c r="X21"/>
  <c r="Q17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M12"/>
  <c r="W12"/>
  <c r="W11"/>
  <c r="N14"/>
  <c r="N13"/>
  <c r="M16"/>
  <c r="M14"/>
  <c r="M13"/>
  <c r="N15"/>
  <c r="M15"/>
  <c r="N16"/>
  <c r="M11"/>
  <c r="V2"/>
  <c r="L1"/>
  <c r="N1"/>
  <c r="U1"/>
  <c r="V1"/>
  <c r="V3"/>
  <c r="W2"/>
  <c r="U2"/>
  <c r="W3"/>
  <c r="U3"/>
  <c r="U15"/>
  <c r="V13"/>
  <c r="N11"/>
  <c r="L15"/>
  <c r="L12"/>
  <c r="W16"/>
  <c r="L16"/>
  <c r="V15"/>
  <c r="U14"/>
  <c r="W15"/>
  <c r="L14"/>
  <c r="U11"/>
  <c r="V12"/>
  <c r="W14"/>
  <c r="V14"/>
  <c r="U13"/>
  <c r="V16"/>
  <c r="U16"/>
  <c r="L13"/>
  <c r="V11"/>
  <c r="N12"/>
  <c r="U12"/>
  <c r="W13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<sst xmlns="http://schemas.openxmlformats.org/spreadsheetml/2006/main" count="228" uniqueCount="70">
  <si>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</si>
  <si>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</si>
  <si>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</si>
  <si>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</si>
  <si>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</si>
  <si>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</si>
  <si>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</si>
  <si>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</si>
  <si>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</si>
  <si>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</si>
  <si>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</si>
  <si>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</si>
  <si>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</si>
  <si>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</si>
  <si>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Капран-Индаяти Сергей</t>
  </si>
  <si>
    <t>Семченкова Марина</t>
  </si>
  <si>
    <t>Главный судья          ____________ С.В.Капран-Индаяти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</si>
  <si>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</si>
  <si>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</si>
  <si>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</si>
  <si>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</si>
  <si>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</si>
  <si>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</si>
  <si>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Ставропольский край</t>
  </si>
  <si>
    <t>Томская область</t>
  </si>
  <si>
    <t>Главный секретарь  _____________ Л.С.Потапова</t>
  </si>
  <si>
    <t>Лукина Лариса</t>
  </si>
  <si>
    <t>Лукин Сергей</t>
  </si>
  <si>
    <t>Санкт-Петербург</t>
  </si>
  <si>
    <t>Потапова Людмила</t>
  </si>
  <si>
    <t>Мурманская область</t>
  </si>
  <si>
    <t>Румянцева Наталья</t>
  </si>
  <si>
    <t>Муругов Вадим</t>
  </si>
  <si>
    <t>Лукина</t>
  </si>
  <si>
    <t>Румянцева</t>
  </si>
  <si>
    <t>Потапова</t>
  </si>
  <si>
    <t>Семченкова</t>
  </si>
  <si>
    <t>Овчинников Тимофей</t>
  </si>
  <si>
    <t>Герасимов Никита</t>
  </si>
  <si>
    <t>Косов Григорий</t>
  </si>
  <si>
    <t>Набиулин Эмиль</t>
  </si>
  <si>
    <t>Попов Станислав</t>
  </si>
  <si>
    <t>Открытый региональный турнир "День России!" (петанк, мужчины), г.Выборг, 12 июня 2025 года</t>
  </si>
  <si>
    <t>Москва</t>
  </si>
  <si>
    <t>Ленинградская область</t>
  </si>
  <si>
    <t>ИТОГОВЫЙ ПРОТОКОЛ                                                                       Открытый региональный турнир                          "День России!" (петанк, мужчины),                   г.Выборг, 12 июня 2025 года</t>
  </si>
  <si>
    <t>Открытый региональный турнир "День России!" группа А (петанк, женщины), г.Выборг, 12 июня 2025 года</t>
  </si>
  <si>
    <t>Никонец Ирина</t>
  </si>
  <si>
    <t>Мандельштам Нонна</t>
  </si>
  <si>
    <t>Завалина Светлана</t>
  </si>
  <si>
    <t>Мандельтам Евгения</t>
  </si>
  <si>
    <t>Заходякина Кристина</t>
  </si>
  <si>
    <t>Мельник Татьяна</t>
  </si>
  <si>
    <t>Попова Галина</t>
  </si>
  <si>
    <t>Открытый региональный турнир "День России!" группа В (петанк, женщины), г.Выборг, 12 июня 2025 года</t>
  </si>
  <si>
    <t>ОРТ "День России!" кубок А (петанк, женщины), г.Выборг, 12 июня 2025 года.</t>
  </si>
  <si>
    <t>Мандельштам Е.</t>
  </si>
  <si>
    <t>Попова</t>
  </si>
  <si>
    <t>Мандельштам Н.</t>
  </si>
  <si>
    <t>Никонец</t>
  </si>
  <si>
    <t>ОРТ "День России!" кубок В (петанк, женщины), г.Выборг, 12 июня 2025 года.</t>
  </si>
  <si>
    <t>ИТОГОВЫЙ ПРОТОКОЛ                                                                       Открытый региональный турнир                          "День России!" (петанк, женщины),                   г.Выборг, 12 июня 2025 года</t>
  </si>
  <si>
    <t>ОРТ "День России!" кубок С (петанк, женщины), г.Выборг, 12 июня 2025 года.</t>
  </si>
  <si>
    <t>Мельник</t>
  </si>
  <si>
    <t>Завалина</t>
  </si>
  <si>
    <t>Заходякина</t>
  </si>
  <si>
    <t xml:space="preserve"> </t>
  </si>
  <si>
    <t>Мандельштам Евгения</t>
  </si>
  <si>
    <t>Калининградская область</t>
  </si>
  <si>
    <t xml:space="preserve">Попова Галина 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</si>
</sst>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0" xfId="0" applyFill="1"/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6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1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16" fillId="0" borderId="6" xfId="0" applyFont="1" applyBorder="1"/>
    <xf numFmtId="0" fontId="0" fillId="0" borderId="0" xfId="0" applyBorder="1"/>
    <xf numFmtId="0" fontId="15" fillId="0" borderId="0" xfId="0" applyFont="1" applyBorder="1"/>
    <xf numFmtId="0" fontId="2" fillId="0" borderId="6" xfId="0" applyFont="1" applyBorder="1"/>
    <xf numFmtId="165" fontId="4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0" xfId="0" applyFont="1"/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center" vertical="center"/>
    </xf>
    <xf numFmtId="164" fontId="4" fillId="2" borderId="33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" fillId="0" borderId="6" xfId="0" applyFont="1" applyBorder="1"/>
    <xf numFmtId="0" fontId="18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51" xfId="0" applyFont="1" applyFill="1" applyBorder="1" applyAlignment="1">
      <alignment horizontal="left" vertical="center" wrapText="1" indent="1"/>
    </xf>
    <xf numFmtId="0" fontId="5" fillId="0" borderId="52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39" xfId="0" applyFont="1" applyFill="1" applyBorder="1" applyAlignment="1">
      <alignment horizontal="left" vertical="center" wrapText="1" indent="1"/>
    </xf>
    <xf numFmtId="0" fontId="5" fillId="0" borderId="40" xfId="0" applyFont="1" applyFill="1" applyBorder="1" applyAlignment="1">
      <alignment horizontal="left" vertical="center" wrapText="1" indent="1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35" xfId="0" applyFont="1" applyFill="1" applyBorder="1" applyAlignment="1">
      <alignment horizontal="left" vertical="center" wrapText="1" indent="1"/>
    </xf>
    <xf numFmtId="0" fontId="5" fillId="0" borderId="33" xfId="0" applyFont="1" applyFill="1" applyBorder="1" applyAlignment="1">
      <alignment horizontal="left" vertical="center" wrapText="1" indent="1"/>
    </xf>
    <xf numFmtId="0" fontId="5" fillId="0" borderId="44" xfId="0" applyFont="1" applyFill="1" applyBorder="1" applyAlignment="1">
      <alignment horizontal="left" vertical="center" wrapText="1" indent="1"/>
    </xf>
    <xf numFmtId="0" fontId="5" fillId="0" borderId="45" xfId="0" applyFont="1" applyFill="1" applyBorder="1" applyAlignment="1">
      <alignment horizontal="left" vertical="center" wrapText="1" indent="1"/>
    </xf>
    <xf numFmtId="0" fontId="5" fillId="0" borderId="3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 indent="1"/>
    </xf>
    <xf numFmtId="0" fontId="5" fillId="0" borderId="41" xfId="0" applyFont="1" applyFill="1" applyBorder="1" applyAlignment="1">
      <alignment horizontal="left" vertical="center" wrapText="1" indent="1"/>
    </xf>
    <xf numFmtId="0" fontId="5" fillId="0" borderId="42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workbookViewId="0">
      <selection activeCell="I69" sqref="A65:I69"/>
    </sheetView>
  </sheetViews>
  <sheetFormatPr defaultRowHeight="15"/>
  <cols>
    <col min="1" max="1" width="4" style="35" customWidth="1"/>
    <col min="2" max="12" width="10.28515625" customWidth="1"/>
    <col min="13" max="13" width="10.28515625" style="32" customWidth="1"/>
    <col min="14" max="15" width="10.28515625" customWidth="1"/>
  </cols>
  <sheetData>
    <row r="1" spans="2:16" customFormat="1" ht="59.25" customHeight="1">
      <c r="B1" s="129" t="s">
        <v>42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2:16" customFormat="1" ht="15.75" thickBot="1"/>
    <row r="3" spans="2:16" customFormat="1" ht="30" customHeight="1" thickBot="1">
      <c r="B3" s="23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">
        <v>7</v>
      </c>
      <c r="M3" s="4">
        <v>8</v>
      </c>
      <c r="N3" s="3" t="s">
        <v>1</v>
      </c>
      <c r="O3" s="1" t="s">
        <v>3</v>
      </c>
      <c r="P3" s="4" t="s">
        <v>2</v>
      </c>
    </row>
    <row r="4" spans="2:16" customFormat="1" ht="24" customHeight="1">
      <c r="B4" s="135">
        <v>1</v>
      </c>
      <c r="C4" s="137" t="s">
        <v>14</v>
      </c>
      <c r="D4" s="138"/>
      <c r="E4" s="139"/>
      <c r="F4" s="10"/>
      <c r="G4" s="6" t="str">
        <f ca="1">INDIRECT(ADDRESS(33,6))&amp;":"&amp;INDIRECT(ADDRESS(33,7))</f>
        <v>10:13</v>
      </c>
      <c r="H4" s="6" t="str">
        <f ca="1">INDIRECT(ADDRESS(37,7))&amp;":"&amp;INDIRECT(ADDRESS(37,6))</f>
        <v>8:13</v>
      </c>
      <c r="I4" s="6" t="str">
        <f ca="1">INDIRECT(ADDRESS(44,6))&amp;":"&amp;INDIRECT(ADDRESS(44,7))</f>
        <v>13:3</v>
      </c>
      <c r="J4" s="6" t="str">
        <f ca="1">INDIRECT(ADDRESS(50,7))&amp;":"&amp;INDIRECT(ADDRESS(50,6))</f>
        <v>13:10</v>
      </c>
      <c r="K4" s="76" t="str">
        <f ca="1">INDIRECT(ADDRESS(55,6))&amp;":"&amp;INDIRECT(ADDRESS(55,7))</f>
        <v>13:6</v>
      </c>
      <c r="L4" s="76" t="str">
        <f ca="1">INDIRECT(ADDRESS(63,7))&amp;":"&amp;INDIRECT(ADDRESS(63,6))</f>
        <v>13:7</v>
      </c>
      <c r="M4" s="77" t="str">
        <f ca="1">INDIRECT(ADDRESS(24,6))&amp;":"&amp;INDIRECT(ADDRESS(24,7))</f>
        <v>13:5</v>
      </c>
      <c r="N4" s="143">
        <f ca="1">IF(COUNT(F5:M5)=0,"",COUNTIF(F5:M5,"&gt;0")+0.5*COUNTIF(F5:M5,0))</f>
        <v>5</v>
      </c>
      <c r="O4" s="65"/>
      <c r="P4" s="130">
        <v>4</v>
      </c>
    </row>
    <row r="5" spans="2:16" customFormat="1" ht="24" customHeight="1">
      <c r="B5" s="136"/>
      <c r="C5" s="140"/>
      <c r="D5" s="141"/>
      <c r="E5" s="142"/>
      <c r="F5" s="14"/>
      <c r="G5" s="17">
        <f ca="1">IF(LEN(INDIRECT(ADDRESS(ROW()-1, COLUMN())))=1,"",INDIRECT(ADDRESS(33,6))-INDIRECT(ADDRESS(33,7)))</f>
        <v>-3</v>
      </c>
      <c r="H5" s="17">
        <f ca="1">IF(LEN(INDIRECT(ADDRESS(ROW()-1, COLUMN())))=1,"",INDIRECT(ADDRESS(37,7))-INDIRECT(ADDRESS(37,6)))</f>
        <v>-5</v>
      </c>
      <c r="I5" s="17">
        <f ca="1">IF(LEN(INDIRECT(ADDRESS(ROW()-1, COLUMN())))=1,"",INDIRECT(ADDRESS(44,6))-INDIRECT(ADDRESS(44,7)))</f>
        <v>10</v>
      </c>
      <c r="J5" s="17">
        <f ca="1">IF(LEN(INDIRECT(ADDRESS(ROW()-1, COLUMN())))=1,"",INDIRECT(ADDRESS(50,7))-INDIRECT(ADDRESS(50,6)))</f>
        <v>3</v>
      </c>
      <c r="K5" s="78">
        <f ca="1">IF(LEN(INDIRECT(ADDRESS(ROW()-1, COLUMN())))=1,"",INDIRECT(ADDRESS(55,6))-INDIRECT(ADDRESS(55,7)))</f>
        <v>7</v>
      </c>
      <c r="L5" s="78">
        <f ca="1">IF(LEN(INDIRECT(ADDRESS(ROW()-1, COLUMN())))=1,"",INDIRECT(ADDRESS(63,7))-INDIRECT(ADDRESS(63,6)))</f>
        <v>6</v>
      </c>
      <c r="M5" s="18">
        <f ca="1">IF(LEN(INDIRECT(ADDRESS(ROW()-1, COLUMN())))=1,"",INDIRECT(ADDRESS(24,6))-INDIRECT(ADDRESS(24,7)))</f>
        <v>8</v>
      </c>
      <c r="N5" s="144"/>
      <c r="O5" s="17">
        <f ca="1">IF(COUNT(F5:M5)=0,"",SUM(F5:M5))</f>
        <v>26</v>
      </c>
      <c r="P5" s="131"/>
    </row>
    <row r="6" spans="2:16" customFormat="1" ht="24" customHeight="1">
      <c r="B6" s="145">
        <v>2</v>
      </c>
      <c r="C6" s="140" t="s">
        <v>37</v>
      </c>
      <c r="D6" s="141"/>
      <c r="E6" s="142"/>
      <c r="F6" s="12" t="str">
        <f ca="1">INDIRECT(ADDRESS(33,7))&amp;":"&amp;INDIRECT(ADDRESS(33,6))</f>
        <v>13:10</v>
      </c>
      <c r="G6" s="8"/>
      <c r="H6" s="7" t="str">
        <f ca="1">INDIRECT(ADDRESS(45,6))&amp;":"&amp;INDIRECT(ADDRESS(45,7))</f>
        <v>10:13</v>
      </c>
      <c r="I6" s="7" t="str">
        <f ca="1">INDIRECT(ADDRESS(49,7))&amp;":"&amp;INDIRECT(ADDRESS(49,6))</f>
        <v>13:3</v>
      </c>
      <c r="J6" s="7" t="str">
        <f ca="1">INDIRECT(ADDRESS(56,6))&amp;":"&amp;INDIRECT(ADDRESS(56,7))</f>
        <v>13:6</v>
      </c>
      <c r="K6" s="79" t="str">
        <f ca="1">INDIRECT(ADDRESS(62,7))&amp;":"&amp;INDIRECT(ADDRESS(62,6))</f>
        <v>7:13</v>
      </c>
      <c r="L6" s="79" t="str">
        <f ca="1">INDIRECT(ADDRESS(25,6))&amp;":"&amp;INDIRECT(ADDRESS(25,7))</f>
        <v>13:7</v>
      </c>
      <c r="M6" s="11" t="str">
        <f ca="1">INDIRECT(ADDRESS(36,6))&amp;":"&amp;INDIRECT(ADDRESS(36,7))</f>
        <v>13:8</v>
      </c>
      <c r="N6" s="144">
        <f ca="1">IF(COUNT(F7:M7)=0,"",COUNTIF(F7:M7,"&gt;0")+0.5*COUNTIF(F7:M7,0))</f>
        <v>5</v>
      </c>
      <c r="O6" s="17"/>
      <c r="P6" s="146">
        <v>3</v>
      </c>
    </row>
    <row r="7" spans="2:16" customFormat="1" ht="24" customHeight="1">
      <c r="B7" s="136"/>
      <c r="C7" s="140"/>
      <c r="D7" s="141"/>
      <c r="E7" s="142"/>
      <c r="F7" s="22">
        <f ca="1">IF(LEN(INDIRECT(ADDRESS(ROW()-1, COLUMN())))=1,"",INDIRECT(ADDRESS(33,7))-INDIRECT(ADDRESS(33,6)))</f>
        <v>3</v>
      </c>
      <c r="G7" s="15"/>
      <c r="H7" s="17">
        <f ca="1">IF(LEN(INDIRECT(ADDRESS(ROW()-1, COLUMN())))=1,"",INDIRECT(ADDRESS(45,6))-INDIRECT(ADDRESS(45,7)))</f>
        <v>-3</v>
      </c>
      <c r="I7" s="17">
        <f ca="1">IF(LEN(INDIRECT(ADDRESS(ROW()-1, COLUMN())))=1,"",INDIRECT(ADDRESS(49,7))-INDIRECT(ADDRESS(49,6)))</f>
        <v>10</v>
      </c>
      <c r="J7" s="17">
        <f ca="1">IF(LEN(INDIRECT(ADDRESS(ROW()-1, COLUMN())))=1,"",INDIRECT(ADDRESS(56,6))-INDIRECT(ADDRESS(56,7)))</f>
        <v>7</v>
      </c>
      <c r="K7" s="78">
        <f ca="1">IF(LEN(INDIRECT(ADDRESS(ROW()-1, COLUMN())))=1,"",INDIRECT(ADDRESS(62,7))-INDIRECT(ADDRESS(62,6)))</f>
        <v>-6</v>
      </c>
      <c r="L7" s="78">
        <f ca="1">IF(LEN(INDIRECT(ADDRESS(ROW()-1, COLUMN())))=1,"",INDIRECT(ADDRESS(25,6))-INDIRECT(ADDRESS(25,7)))</f>
        <v>6</v>
      </c>
      <c r="M7" s="18">
        <f ca="1">IF(LEN(INDIRECT(ADDRESS(ROW()-1, COLUMN())))=1,"",INDIRECT(ADDRESS(36,6))-INDIRECT(ADDRESS(36,7)))</f>
        <v>5</v>
      </c>
      <c r="N7" s="144"/>
      <c r="O7" s="17">
        <f ca="1">IF(COUNT(F7:M7)=0,"",SUM(F7:M7))</f>
        <v>22</v>
      </c>
      <c r="P7" s="131"/>
    </row>
    <row r="8" spans="2:16" customFormat="1" ht="24" customHeight="1">
      <c r="B8" s="145">
        <v>3</v>
      </c>
      <c r="C8" s="140" t="s">
        <v>27</v>
      </c>
      <c r="D8" s="141"/>
      <c r="E8" s="142"/>
      <c r="F8" s="12" t="str">
        <f ca="1">INDIRECT(ADDRESS(37,6))&amp;":"&amp;INDIRECT(ADDRESS(37,7))</f>
        <v>13:8</v>
      </c>
      <c r="G8" s="7" t="str">
        <f ca="1">INDIRECT(ADDRESS(45,7))&amp;":"&amp;INDIRECT(ADDRESS(45,6))</f>
        <v>13:10</v>
      </c>
      <c r="H8" s="8"/>
      <c r="I8" s="7" t="str">
        <f ca="1">INDIRECT(ADDRESS(57,6))&amp;":"&amp;INDIRECT(ADDRESS(57,7))</f>
        <v>13:8</v>
      </c>
      <c r="J8" s="7" t="str">
        <f ca="1">INDIRECT(ADDRESS(61,7))&amp;":"&amp;INDIRECT(ADDRESS(61,6))</f>
        <v>13:9</v>
      </c>
      <c r="K8" s="79" t="str">
        <f ca="1">INDIRECT(ADDRESS(26,6))&amp;":"&amp;INDIRECT(ADDRESS(26,7))</f>
        <v>10:13</v>
      </c>
      <c r="L8" s="79" t="str">
        <f ca="1">INDIRECT(ADDRESS(32,7))&amp;":"&amp;INDIRECT(ADDRESS(32,6))</f>
        <v>13:7</v>
      </c>
      <c r="M8" s="11" t="str">
        <f ca="1">INDIRECT(ADDRESS(48,6))&amp;":"&amp;INDIRECT(ADDRESS(48,7))</f>
        <v>13:4</v>
      </c>
      <c r="N8" s="144">
        <f ca="1">IF(COUNT(F9:M9)=0,"",COUNTIF(F9:M9,"&gt;0")+0.5*COUNTIF(F9:M9,0))</f>
        <v>6</v>
      </c>
      <c r="O8" s="17"/>
      <c r="P8" s="146">
        <v>2</v>
      </c>
    </row>
    <row r="9" spans="2:16" customFormat="1" ht="24" customHeight="1">
      <c r="B9" s="136"/>
      <c r="C9" s="140"/>
      <c r="D9" s="141"/>
      <c r="E9" s="142"/>
      <c r="F9" s="22">
        <f ca="1">IF(LEN(INDIRECT(ADDRESS(ROW()-1, COLUMN())))=1,"",INDIRECT(ADDRESS(37,6))-INDIRECT(ADDRESS(37,7)))</f>
        <v>5</v>
      </c>
      <c r="G9" s="17">
        <f ca="1">IF(LEN(INDIRECT(ADDRESS(ROW()-1, COLUMN())))=1,"",INDIRECT(ADDRESS(45,7))-INDIRECT(ADDRESS(45,6)))</f>
        <v>3</v>
      </c>
      <c r="H9" s="15"/>
      <c r="I9" s="17">
        <f ca="1">IF(LEN(INDIRECT(ADDRESS(ROW()-1, COLUMN())))=1,"",INDIRECT(ADDRESS(57,6))-INDIRECT(ADDRESS(57,7)))</f>
        <v>5</v>
      </c>
      <c r="J9" s="17">
        <f ca="1">IF(LEN(INDIRECT(ADDRESS(ROW()-1, COLUMN())))=1,"",INDIRECT(ADDRESS(61,7))-INDIRECT(ADDRESS(61,6)))</f>
        <v>4</v>
      </c>
      <c r="K9" s="78">
        <f ca="1">IF(LEN(INDIRECT(ADDRESS(ROW()-1, COLUMN())))=1,"",INDIRECT(ADDRESS(26,6))-INDIRECT(ADDRESS(26,7)))</f>
        <v>-3</v>
      </c>
      <c r="L9" s="78">
        <f ca="1">IF(LEN(INDIRECT(ADDRESS(ROW()-1, COLUMN())))=1,"",INDIRECT(ADDRESS(32,7))-INDIRECT(ADDRESS(32,6)))</f>
        <v>6</v>
      </c>
      <c r="M9" s="18">
        <f ca="1">IF(LEN(INDIRECT(ADDRESS(ROW()-1, COLUMN())))=1,"",INDIRECT(ADDRESS(48,6))-INDIRECT(ADDRESS(48,7)))</f>
        <v>9</v>
      </c>
      <c r="N9" s="144"/>
      <c r="O9" s="17">
        <f ca="1">IF(COUNT(F9:M9)=0,"",SUM(F9:M9))</f>
        <v>29</v>
      </c>
      <c r="P9" s="131"/>
    </row>
    <row r="10" spans="2:16" customFormat="1" ht="24" customHeight="1">
      <c r="B10" s="145">
        <v>4</v>
      </c>
      <c r="C10" s="140" t="s">
        <v>38</v>
      </c>
      <c r="D10" s="141"/>
      <c r="E10" s="142"/>
      <c r="F10" s="12" t="str">
        <f ca="1">INDIRECT(ADDRESS(44,7))&amp;":"&amp;INDIRECT(ADDRESS(44,6))</f>
        <v>3:13</v>
      </c>
      <c r="G10" s="7" t="str">
        <f ca="1">INDIRECT(ADDRESS(49,6))&amp;":"&amp;INDIRECT(ADDRESS(49,7))</f>
        <v>3:13</v>
      </c>
      <c r="H10" s="7" t="str">
        <f ca="1">INDIRECT(ADDRESS(57,7))&amp;":"&amp;INDIRECT(ADDRESS(57,6))</f>
        <v>8:13</v>
      </c>
      <c r="I10" s="8"/>
      <c r="J10" s="7" t="str">
        <f ca="1">INDIRECT(ADDRESS(27,6))&amp;":"&amp;INDIRECT(ADDRESS(27,7))</f>
        <v>5:13</v>
      </c>
      <c r="K10" s="79" t="str">
        <f ca="1">INDIRECT(ADDRESS(31,7))&amp;":"&amp;INDIRECT(ADDRESS(31,6))</f>
        <v>1:13</v>
      </c>
      <c r="L10" s="79" t="str">
        <f ca="1">INDIRECT(ADDRESS(38,6))&amp;":"&amp;INDIRECT(ADDRESS(38,7))</f>
        <v>13:7</v>
      </c>
      <c r="M10" s="11" t="str">
        <f ca="1">INDIRECT(ADDRESS(60,6))&amp;":"&amp;INDIRECT(ADDRESS(60,7))</f>
        <v>8:13</v>
      </c>
      <c r="N10" s="144">
        <f ca="1">IF(COUNT(F11:M11)=0,"",COUNTIF(F11:M11,"&gt;0")+0.5*COUNTIF(F11:M11,0))</f>
        <v>1</v>
      </c>
      <c r="O10" s="17"/>
      <c r="P10" s="146">
        <v>7</v>
      </c>
    </row>
    <row r="11" spans="2:16" customFormat="1" ht="24" customHeight="1">
      <c r="B11" s="136"/>
      <c r="C11" s="140"/>
      <c r="D11" s="141"/>
      <c r="E11" s="142"/>
      <c r="F11" s="22">
        <f ca="1">IF(LEN(INDIRECT(ADDRESS(ROW()-1, COLUMN())))=1,"",INDIRECT(ADDRESS(44,7))-INDIRECT(ADDRESS(44,6)))</f>
        <v>-10</v>
      </c>
      <c r="G11" s="17">
        <f ca="1">IF(LEN(INDIRECT(ADDRESS(ROW()-1, COLUMN())))=1,"",INDIRECT(ADDRESS(49,6))-INDIRECT(ADDRESS(49,7)))</f>
        <v>-10</v>
      </c>
      <c r="H11" s="17">
        <f ca="1">IF(LEN(INDIRECT(ADDRESS(ROW()-1, COLUMN())))=1,"",INDIRECT(ADDRESS(57,7))-INDIRECT(ADDRESS(57,6)))</f>
        <v>-5</v>
      </c>
      <c r="I11" s="15"/>
      <c r="J11" s="17">
        <f ca="1">IF(LEN(INDIRECT(ADDRESS(ROW()-1, COLUMN())))=1,"",INDIRECT(ADDRESS(27,6))-INDIRECT(ADDRESS(27,7)))</f>
        <v>-8</v>
      </c>
      <c r="K11" s="78">
        <f ca="1">IF(LEN(INDIRECT(ADDRESS(ROW()-1, COLUMN())))=1,"",INDIRECT(ADDRESS(31,7))-INDIRECT(ADDRESS(31,6)))</f>
        <v>-12</v>
      </c>
      <c r="L11" s="78">
        <f ca="1">IF(LEN(INDIRECT(ADDRESS(ROW()-1, COLUMN())))=1,"",INDIRECT(ADDRESS(38,6))-INDIRECT(ADDRESS(38,7)))</f>
        <v>6</v>
      </c>
      <c r="M11" s="18">
        <f ca="1">IF(LEN(INDIRECT(ADDRESS(ROW()-1, COLUMN())))=1,"",INDIRECT(ADDRESS(60,6))-INDIRECT(ADDRESS(60,7)))</f>
        <v>-5</v>
      </c>
      <c r="N11" s="144"/>
      <c r="O11" s="17">
        <f ca="1">IF(COUNT(F11:M11)=0,"",SUM(F11:M11))</f>
        <v>-44</v>
      </c>
      <c r="P11" s="131"/>
    </row>
    <row r="12" spans="2:16" customFormat="1" ht="24" customHeight="1">
      <c r="B12" s="145">
        <v>5</v>
      </c>
      <c r="C12" s="140" t="s">
        <v>39</v>
      </c>
      <c r="D12" s="141"/>
      <c r="E12" s="142"/>
      <c r="F12" s="12" t="str">
        <f ca="1">INDIRECT(ADDRESS(50,6))&amp;":"&amp;INDIRECT(ADDRESS(50,7))</f>
        <v>10:13</v>
      </c>
      <c r="G12" s="7" t="str">
        <f ca="1">INDIRECT(ADDRESS(56,7))&amp;":"&amp;INDIRECT(ADDRESS(56,6))</f>
        <v>6:13</v>
      </c>
      <c r="H12" s="7" t="str">
        <f ca="1">INDIRECT(ADDRESS(61,6))&amp;":"&amp;INDIRECT(ADDRESS(61,7))</f>
        <v>9:13</v>
      </c>
      <c r="I12" s="7" t="str">
        <f ca="1">INDIRECT(ADDRESS(27,7))&amp;":"&amp;INDIRECT(ADDRESS(27,6))</f>
        <v>13:5</v>
      </c>
      <c r="J12" s="8"/>
      <c r="K12" s="79" t="str">
        <f ca="1">INDIRECT(ADDRESS(39,6))&amp;":"&amp;INDIRECT(ADDRESS(39,7))</f>
        <v>4:13</v>
      </c>
      <c r="L12" s="79" t="str">
        <f ca="1">INDIRECT(ADDRESS(43,7))&amp;":"&amp;INDIRECT(ADDRESS(43,6))</f>
        <v>13:7</v>
      </c>
      <c r="M12" s="11" t="str">
        <f ca="1">INDIRECT(ADDRESS(30,7))&amp;":"&amp;INDIRECT(ADDRESS(30,6))</f>
        <v>13:4</v>
      </c>
      <c r="N12" s="144">
        <f ca="1">IF(COUNT(F13:M13)=0,"",COUNTIF(F13:M13,"&gt;0")+0.5*COUNTIF(F13:M13,0))</f>
        <v>3</v>
      </c>
      <c r="O12" s="17"/>
      <c r="P12" s="146">
        <v>5</v>
      </c>
    </row>
    <row r="13" spans="2:16" customFormat="1" ht="24" customHeight="1">
      <c r="B13" s="136"/>
      <c r="C13" s="140"/>
      <c r="D13" s="141"/>
      <c r="E13" s="142"/>
      <c r="F13" s="22">
        <f ca="1">IF(LEN(INDIRECT(ADDRESS(ROW()-1, COLUMN())))=1,"",INDIRECT(ADDRESS(50,6))-INDIRECT(ADDRESS(50,7)))</f>
        <v>-3</v>
      </c>
      <c r="G13" s="17">
        <f ca="1">IF(LEN(INDIRECT(ADDRESS(ROW()-1, COLUMN())))=1,"",INDIRECT(ADDRESS(56,7))-INDIRECT(ADDRESS(56,6)))</f>
        <v>-7</v>
      </c>
      <c r="H13" s="17">
        <f ca="1">IF(LEN(INDIRECT(ADDRESS(ROW()-1, COLUMN())))=1,"",INDIRECT(ADDRESS(61,6))-INDIRECT(ADDRESS(61,7)))</f>
        <v>-4</v>
      </c>
      <c r="I13" s="17">
        <f ca="1">IF(LEN(INDIRECT(ADDRESS(ROW()-1, COLUMN())))=1,"",INDIRECT(ADDRESS(27,7))-INDIRECT(ADDRESS(27,6)))</f>
        <v>8</v>
      </c>
      <c r="J13" s="15"/>
      <c r="K13" s="78">
        <f ca="1">IF(LEN(INDIRECT(ADDRESS(ROW()-1, COLUMN())))=1,"",INDIRECT(ADDRESS(39,6))-INDIRECT(ADDRESS(39,7)))</f>
        <v>-9</v>
      </c>
      <c r="L13" s="78">
        <f ca="1">IF(LEN(INDIRECT(ADDRESS(ROW()-1, COLUMN())))=1,"",INDIRECT(ADDRESS(43,7))-INDIRECT(ADDRESS(43,6)))</f>
        <v>6</v>
      </c>
      <c r="M13" s="18">
        <f ca="1">IF(LEN(INDIRECT(ADDRESS(ROW()-1, COLUMN())))=1,"",INDIRECT(ADDRESS(30,7))-INDIRECT(ADDRESS(30,6)))</f>
        <v>9</v>
      </c>
      <c r="N13" s="144"/>
      <c r="O13" s="17">
        <f ca="1">IF(COUNT(F13:M13)=0,"",SUM(F13:M13))</f>
        <v>0</v>
      </c>
      <c r="P13" s="131"/>
    </row>
    <row r="14" spans="2:16" customFormat="1" ht="24" customHeight="1">
      <c r="B14" s="145">
        <v>6</v>
      </c>
      <c r="C14" s="140" t="s">
        <v>32</v>
      </c>
      <c r="D14" s="141"/>
      <c r="E14" s="142"/>
      <c r="F14" s="12" t="str">
        <f ca="1">INDIRECT(ADDRESS(55,7))&amp;":"&amp;INDIRECT(ADDRESS(55,6))</f>
        <v>6:13</v>
      </c>
      <c r="G14" s="7" t="str">
        <f ca="1">INDIRECT(ADDRESS(62,6))&amp;":"&amp;INDIRECT(ADDRESS(62,7))</f>
        <v>13:7</v>
      </c>
      <c r="H14" s="7" t="str">
        <f ca="1">INDIRECT(ADDRESS(26,7))&amp;":"&amp;INDIRECT(ADDRESS(26,6))</f>
        <v>13:10</v>
      </c>
      <c r="I14" s="7" t="str">
        <f ca="1">INDIRECT(ADDRESS(31,6))&amp;":"&amp;INDIRECT(ADDRESS(31,7))</f>
        <v>13:1</v>
      </c>
      <c r="J14" s="7" t="str">
        <f ca="1">INDIRECT(ADDRESS(39,7))&amp;":"&amp;INDIRECT(ADDRESS(39,6))</f>
        <v>13:4</v>
      </c>
      <c r="K14" s="80"/>
      <c r="L14" s="81" t="str">
        <f ca="1">INDIRECT(ADDRESS(51,6))&amp;":"&amp;INDIRECT(ADDRESS(51,7))</f>
        <v>13:7</v>
      </c>
      <c r="M14" s="82" t="str">
        <f ca="1">INDIRECT(ADDRESS(42,7))&amp;":"&amp;INDIRECT(ADDRESS(42,6))</f>
        <v>13:8</v>
      </c>
      <c r="N14" s="144">
        <f ca="1">IF(COUNT(F15:M15)=0,"",COUNTIF(F15:M15,"&gt;0")+0.5*COUNTIF(F15:M15,0))</f>
        <v>6</v>
      </c>
      <c r="O14" s="17"/>
      <c r="P14" s="146">
        <v>1</v>
      </c>
    </row>
    <row r="15" spans="2:16" customFormat="1" ht="24" customHeight="1">
      <c r="B15" s="136"/>
      <c r="C15" s="140"/>
      <c r="D15" s="141"/>
      <c r="E15" s="142"/>
      <c r="F15" s="22">
        <f ca="1">IF(LEN(INDIRECT(ADDRESS(ROW()-1, COLUMN())))=1,"",INDIRECT(ADDRESS(55,7))-INDIRECT(ADDRESS(55,6)))</f>
        <v>-7</v>
      </c>
      <c r="G15" s="17">
        <f ca="1">IF(LEN(INDIRECT(ADDRESS(ROW()-1, COLUMN())))=1,"",INDIRECT(ADDRESS(62,6))-INDIRECT(ADDRESS(62,7)))</f>
        <v>6</v>
      </c>
      <c r="H15" s="17">
        <f ca="1">IF(LEN(INDIRECT(ADDRESS(ROW()-1, COLUMN())))=1,"",INDIRECT(ADDRESS(26,7))-INDIRECT(ADDRESS(26,6)))</f>
        <v>3</v>
      </c>
      <c r="I15" s="17">
        <f ca="1">IF(LEN(INDIRECT(ADDRESS(ROW()-1, COLUMN())))=1,"",INDIRECT(ADDRESS(31,6))-INDIRECT(ADDRESS(31,7)))</f>
        <v>12</v>
      </c>
      <c r="J15" s="17">
        <f ca="1">IF(LEN(INDIRECT(ADDRESS(ROW()-1, COLUMN())))=1,"",INDIRECT(ADDRESS(39,7))-INDIRECT(ADDRESS(39,6)))</f>
        <v>9</v>
      </c>
      <c r="K15" s="83"/>
      <c r="L15" s="84">
        <f ca="1">IF(LEN(INDIRECT(ADDRESS(ROW()-1, COLUMN())))=1,"",INDIRECT(ADDRESS(51,6))-INDIRECT(ADDRESS(51,7)))</f>
        <v>6</v>
      </c>
      <c r="M15" s="85">
        <f ca="1">IF(LEN(INDIRECT(ADDRESS(ROW()-1, COLUMN())))=1,"",INDIRECT(ADDRESS(42,7))-INDIRECT(ADDRESS(42,6)))</f>
        <v>5</v>
      </c>
      <c r="N15" s="144"/>
      <c r="O15" s="17">
        <f ca="1">IF(COUNT(F15:M15)=0,"",SUM(F15:M15))</f>
        <v>34</v>
      </c>
      <c r="P15" s="131"/>
    </row>
    <row r="16" spans="2:16" customFormat="1" ht="24" customHeight="1">
      <c r="B16" s="147">
        <v>7</v>
      </c>
      <c r="C16" s="148" t="s">
        <v>40</v>
      </c>
      <c r="D16" s="149"/>
      <c r="E16" s="150"/>
      <c r="F16" s="86" t="str">
        <f ca="1">INDIRECT(ADDRESS(63,6))&amp;":"&amp;INDIRECT(ADDRESS(63,7))</f>
        <v>7:13</v>
      </c>
      <c r="G16" s="87" t="str">
        <f ca="1">INDIRECT(ADDRESS(25,7))&amp;":"&amp;INDIRECT(ADDRESS(25,6))</f>
        <v>7:13</v>
      </c>
      <c r="H16" s="87" t="str">
        <f ca="1">INDIRECT(ADDRESS(32,6))&amp;":"&amp;INDIRECT(ADDRESS(32,7))</f>
        <v>7:13</v>
      </c>
      <c r="I16" s="87" t="str">
        <f ca="1">INDIRECT(ADDRESS(38,7))&amp;":"&amp;INDIRECT(ADDRESS(38,6))</f>
        <v>7:13</v>
      </c>
      <c r="J16" s="87" t="str">
        <f ca="1">INDIRECT(ADDRESS(43,6))&amp;":"&amp;INDIRECT(ADDRESS(43,7))</f>
        <v>7:13</v>
      </c>
      <c r="K16" s="88" t="str">
        <f ca="1">INDIRECT(ADDRESS(51,7))&amp;":"&amp;INDIRECT(ADDRESS(51,6))</f>
        <v>7:13</v>
      </c>
      <c r="L16" s="89"/>
      <c r="M16" s="90" t="str">
        <f ca="1">INDIRECT(ADDRESS(54,7))&amp;":"&amp;INDIRECT(ADDRESS(54,6))</f>
        <v>7:13</v>
      </c>
      <c r="N16" s="144">
        <f ca="1">IF(COUNT(F17:M17)=0,"",COUNTIF(F17:M17,"&gt;0")+0.5*COUNTIF(F17:M17,0))</f>
        <v>0</v>
      </c>
      <c r="O16" s="91"/>
      <c r="P16" s="155">
        <v>8</v>
      </c>
    </row>
    <row r="17" spans="2:16" customFormat="1" ht="24" customHeight="1">
      <c r="B17" s="147"/>
      <c r="C17" s="151"/>
      <c r="D17" s="152"/>
      <c r="E17" s="153"/>
      <c r="F17" s="92">
        <f ca="1">IF(LEN(INDIRECT(ADDRESS(ROW()-1, COLUMN())))=1,"",INDIRECT(ADDRESS(63,6))-INDIRECT(ADDRESS(63,7)))</f>
        <v>-6</v>
      </c>
      <c r="G17" s="93">
        <f ca="1">IF(LEN(INDIRECT(ADDRESS(ROW()-1, COLUMN())))=1,"",INDIRECT(ADDRESS(25,7))-INDIRECT(ADDRESS(25,6)))</f>
        <v>-6</v>
      </c>
      <c r="H17" s="93">
        <f ca="1">IF(LEN(INDIRECT(ADDRESS(ROW()-1, COLUMN())))=1,"",INDIRECT(ADDRESS(32,6))-INDIRECT(ADDRESS(32,7)))</f>
        <v>-6</v>
      </c>
      <c r="I17" s="93">
        <f ca="1">IF(LEN(INDIRECT(ADDRESS(ROW()-1, COLUMN())))=1,"",INDIRECT(ADDRESS(38,7))-INDIRECT(ADDRESS(38,6)))</f>
        <v>-6</v>
      </c>
      <c r="J17" s="93">
        <f ca="1">IF(LEN(INDIRECT(ADDRESS(ROW()-1, COLUMN())))=1,"",INDIRECT(ADDRESS(43,6))-INDIRECT(ADDRESS(43,7)))</f>
        <v>-6</v>
      </c>
      <c r="K17" s="94">
        <f ca="1">IF(LEN(INDIRECT(ADDRESS(ROW()-1, COLUMN())))=1,"",INDIRECT(ADDRESS(51,7))-INDIRECT(ADDRESS(51,6)))</f>
        <v>-6</v>
      </c>
      <c r="L17" s="95"/>
      <c r="M17" s="96">
        <f ca="1">IF(LEN(INDIRECT(ADDRESS(ROW()-1, COLUMN())))=1,"",INDIRECT(ADDRESS(54,7))-INDIRECT(ADDRESS(54,6)))</f>
        <v>-6</v>
      </c>
      <c r="N17" s="154"/>
      <c r="O17" s="93">
        <f ca="1">IF(COUNT(F17:M17)=0,"",SUM(F17:M17))</f>
        <v>-42</v>
      </c>
      <c r="P17" s="155"/>
    </row>
    <row r="18" spans="2:16" customFormat="1" ht="24" customHeight="1">
      <c r="B18" s="145">
        <v>8</v>
      </c>
      <c r="C18" s="140" t="s">
        <v>41</v>
      </c>
      <c r="D18" s="141"/>
      <c r="E18" s="142"/>
      <c r="F18" s="12" t="str">
        <f ca="1">INDIRECT(ADDRESS(24,7))&amp;":"&amp;INDIRECT(ADDRESS(24,6))</f>
        <v>5:13</v>
      </c>
      <c r="G18" s="7" t="str">
        <f ca="1">INDIRECT(ADDRESS(36,7))&amp;":"&amp;INDIRECT(ADDRESS(36,6))</f>
        <v>8:13</v>
      </c>
      <c r="H18" s="7" t="str">
        <f ca="1">INDIRECT(ADDRESS(48,7))&amp;":"&amp;INDIRECT(ADDRESS(48,6))</f>
        <v>4:13</v>
      </c>
      <c r="I18" s="7" t="str">
        <f ca="1">INDIRECT(ADDRESS(60,7))&amp;":"&amp;INDIRECT(ADDRESS(60,6))</f>
        <v>13:8</v>
      </c>
      <c r="J18" s="7" t="str">
        <f ca="1">INDIRECT(ADDRESS(30,6))&amp;":"&amp;INDIRECT(ADDRESS(30,7))</f>
        <v>4:13</v>
      </c>
      <c r="K18" s="81" t="str">
        <f ca="1">INDIRECT(ADDRESS(42,6))&amp;":"&amp;INDIRECT(ADDRESS(42,7))</f>
        <v>8:13</v>
      </c>
      <c r="L18" s="81" t="str">
        <f ca="1">INDIRECT(ADDRESS(54,6))&amp;":"&amp;INDIRECT(ADDRESS(54,7))</f>
        <v>13:7</v>
      </c>
      <c r="M18" s="13"/>
      <c r="N18" s="144">
        <f ca="1">IF(COUNT(F19:M19)=0,"",COUNTIF(F19:M19,"&gt;0")+0.5*COUNTIF(F19:M19,0))</f>
        <v>2</v>
      </c>
      <c r="O18" s="17"/>
      <c r="P18" s="146">
        <v>6</v>
      </c>
    </row>
    <row r="19" spans="2:16" customFormat="1" ht="24" customHeight="1" thickBot="1">
      <c r="B19" s="160"/>
      <c r="C19" s="161"/>
      <c r="D19" s="162"/>
      <c r="E19" s="163"/>
      <c r="F19" s="20">
        <f ca="1">IF(LEN(INDIRECT(ADDRESS(ROW()-1, COLUMN())))=1,"",INDIRECT(ADDRESS(24,7))-INDIRECT(ADDRESS(24,6)))</f>
        <v>-8</v>
      </c>
      <c r="G19" s="19">
        <f ca="1">IF(LEN(INDIRECT(ADDRESS(ROW()-1, COLUMN())))=1,"",INDIRECT(ADDRESS(36,7))-INDIRECT(ADDRESS(36,6)))</f>
        <v>-5</v>
      </c>
      <c r="H19" s="19">
        <f ca="1">IF(LEN(INDIRECT(ADDRESS(ROW()-1, COLUMN())))=1,"",INDIRECT(ADDRESS(48,7))-INDIRECT(ADDRESS(48,6)))</f>
        <v>-9</v>
      </c>
      <c r="I19" s="19">
        <f ca="1">IF(LEN(INDIRECT(ADDRESS(ROW()-1, COLUMN())))=1,"",INDIRECT(ADDRESS(60,7))-INDIRECT(ADDRESS(60,6)))</f>
        <v>5</v>
      </c>
      <c r="J19" s="19">
        <f ca="1">IF(LEN(INDIRECT(ADDRESS(ROW()-1, COLUMN())))=1,"",INDIRECT(ADDRESS(30,6))-INDIRECT(ADDRESS(30,7)))</f>
        <v>-9</v>
      </c>
      <c r="K19" s="97">
        <f ca="1">IF(LEN(INDIRECT(ADDRESS(ROW()-1, COLUMN())))=1,"",INDIRECT(ADDRESS(42,6))-INDIRECT(ADDRESS(42,7)))</f>
        <v>-5</v>
      </c>
      <c r="L19" s="97">
        <f ca="1">IF(LEN(INDIRECT(ADDRESS(ROW()-1, COLUMN())))=1,"",INDIRECT(ADDRESS(54,6))-INDIRECT(ADDRESS(54,7)))</f>
        <v>6</v>
      </c>
      <c r="M19" s="16"/>
      <c r="N19" s="164"/>
      <c r="O19" s="19">
        <f ca="1">IF(COUNT(F19:M19)=0,"",SUM(F19:M19))</f>
        <v>-25</v>
      </c>
      <c r="P19" s="165"/>
    </row>
    <row r="20" spans="2:16" customFormat="1"/>
    <row r="21" spans="2:16" customFormat="1"/>
    <row r="22" spans="2:16" customFormat="1"/>
    <row r="23" spans="2:16" customFormat="1" ht="30" customHeight="1" thickBot="1">
      <c r="B23" s="158" t="s">
        <v>4</v>
      </c>
      <c r="C23" s="158"/>
      <c r="D23" s="158"/>
      <c r="E23" s="158"/>
      <c r="F23" s="158"/>
      <c r="G23" s="158"/>
      <c r="H23" s="158"/>
      <c r="I23" s="158"/>
      <c r="J23" s="158"/>
      <c r="K23" s="158"/>
    </row>
    <row r="24" spans="2:16" customFormat="1" ht="30" customHeight="1" thickBot="1">
      <c r="B24" s="5">
        <v>1</v>
      </c>
      <c r="C24" s="157" t="str">
        <f ca="1">IF(ISBLANK(INDIRECT(ADDRESS(B24*2+2,3))),"",INDIRECT(ADDRESS(B24*2+2,3)))</f>
        <v>Капран-Индаяти Сергей</v>
      </c>
      <c r="D24" s="157"/>
      <c r="E24" s="159"/>
      <c r="F24" s="98">
        <v>13</v>
      </c>
      <c r="G24" s="99">
        <v>5</v>
      </c>
      <c r="H24" s="156" t="str">
        <f ca="1">IF(ISBLANK(INDIRECT(ADDRESS(K24*2+2,3))),"",INDIRECT(ADDRESS(K24*2+2,3)))</f>
        <v>Попов Станислав</v>
      </c>
      <c r="I24" s="157"/>
      <c r="J24" s="157"/>
      <c r="K24" s="5">
        <v>8</v>
      </c>
      <c r="L24" s="30" t="s">
        <v>11</v>
      </c>
      <c r="M24" s="31">
        <v>1</v>
      </c>
    </row>
    <row r="25" spans="2:16" customFormat="1" ht="30" customHeight="1" thickBot="1">
      <c r="B25" s="5">
        <v>2</v>
      </c>
      <c r="C25" s="157" t="str">
        <f ca="1">IF(ISBLANK(INDIRECT(ADDRESS(B25*2+2,3))),"",INDIRECT(ADDRESS(B25*2+2,3)))</f>
        <v>Овчинников Тимофей</v>
      </c>
      <c r="D25" s="157"/>
      <c r="E25" s="159"/>
      <c r="F25" s="98">
        <v>13</v>
      </c>
      <c r="G25" s="99">
        <v>7</v>
      </c>
      <c r="H25" s="156" t="str">
        <f ca="1">IF(ISBLANK(INDIRECT(ADDRESS(K25*2+2,3))),"",INDIRECT(ADDRESS(K25*2+2,3)))</f>
        <v>Набиулин Эмиль</v>
      </c>
      <c r="I25" s="157"/>
      <c r="J25" s="157"/>
      <c r="K25" s="5">
        <v>7</v>
      </c>
      <c r="L25" s="30" t="s">
        <v>11</v>
      </c>
      <c r="M25" s="31">
        <v>2</v>
      </c>
    </row>
    <row r="26" spans="2:16" customFormat="1" ht="30" customHeight="1" thickBot="1">
      <c r="B26" s="5">
        <v>3</v>
      </c>
      <c r="C26" s="157" t="str">
        <f ca="1">IF(ISBLANK(INDIRECT(ADDRESS(B26*2+2,3))),"",INDIRECT(ADDRESS(B26*2+2,3)))</f>
        <v>Лукин Сергей</v>
      </c>
      <c r="D26" s="157"/>
      <c r="E26" s="159"/>
      <c r="F26" s="98">
        <v>10</v>
      </c>
      <c r="G26" s="99">
        <v>13</v>
      </c>
      <c r="H26" s="156" t="str">
        <f ca="1">IF(ISBLANK(INDIRECT(ADDRESS(K26*2+2,3))),"",INDIRECT(ADDRESS(K26*2+2,3)))</f>
        <v>Муругов Вадим</v>
      </c>
      <c r="I26" s="157"/>
      <c r="J26" s="157"/>
      <c r="K26" s="5">
        <v>6</v>
      </c>
      <c r="L26" s="30" t="s">
        <v>11</v>
      </c>
      <c r="M26" s="31">
        <v>3</v>
      </c>
    </row>
    <row r="27" spans="2:16" customFormat="1" ht="30" customHeight="1" thickBot="1">
      <c r="B27" s="5">
        <v>4</v>
      </c>
      <c r="C27" s="157" t="str">
        <f ca="1">IF(ISBLANK(INDIRECT(ADDRESS(B27*2+2,3))),"",INDIRECT(ADDRESS(B27*2+2,3)))</f>
        <v>Герасимов Никита</v>
      </c>
      <c r="D27" s="157"/>
      <c r="E27" s="159"/>
      <c r="F27" s="98">
        <v>5</v>
      </c>
      <c r="G27" s="99">
        <v>13</v>
      </c>
      <c r="H27" s="156" t="str">
        <f ca="1">IF(ISBLANK(INDIRECT(ADDRESS(K27*2+2,3))),"",INDIRECT(ADDRESS(K27*2+2,3)))</f>
        <v>Косов Григорий</v>
      </c>
      <c r="I27" s="157"/>
      <c r="J27" s="157"/>
      <c r="K27" s="5">
        <v>5</v>
      </c>
      <c r="L27" s="30" t="s">
        <v>11</v>
      </c>
      <c r="M27" s="31">
        <v>4</v>
      </c>
    </row>
    <row r="28" spans="2:16" customFormat="1" ht="30" customHeight="1">
      <c r="M28" s="33"/>
    </row>
    <row r="29" spans="2:16" customFormat="1" ht="30" customHeight="1" thickBot="1">
      <c r="B29" s="158" t="s">
        <v>5</v>
      </c>
      <c r="C29" s="158"/>
      <c r="D29" s="158"/>
      <c r="E29" s="158"/>
      <c r="F29" s="158"/>
      <c r="G29" s="158"/>
      <c r="H29" s="158"/>
      <c r="I29" s="158"/>
      <c r="J29" s="158"/>
      <c r="K29" s="158"/>
      <c r="M29" s="33"/>
    </row>
    <row r="30" spans="2:16" customFormat="1" ht="30" customHeight="1" thickBot="1">
      <c r="B30" s="5">
        <v>8</v>
      </c>
      <c r="C30" s="157" t="str">
        <f ca="1">IF(ISBLANK(INDIRECT(ADDRESS(B30*2+2,3))),"",INDIRECT(ADDRESS(B30*2+2,3)))</f>
        <v>Попов Станислав</v>
      </c>
      <c r="D30" s="157"/>
      <c r="E30" s="159"/>
      <c r="F30" s="98">
        <v>4</v>
      </c>
      <c r="G30" s="99">
        <v>13</v>
      </c>
      <c r="H30" s="156" t="str">
        <f ca="1">IF(ISBLANK(INDIRECT(ADDRESS(K30*2+2,3))),"",INDIRECT(ADDRESS(K30*2+2,3)))</f>
        <v>Косов Григорий</v>
      </c>
      <c r="I30" s="157"/>
      <c r="J30" s="157"/>
      <c r="K30" s="5">
        <v>5</v>
      </c>
      <c r="L30" s="30" t="s">
        <v>11</v>
      </c>
      <c r="M30" s="31">
        <v>2</v>
      </c>
    </row>
    <row r="31" spans="2:16" customFormat="1" ht="30" customHeight="1" thickBot="1">
      <c r="B31" s="5">
        <v>6</v>
      </c>
      <c r="C31" s="157" t="str">
        <f ca="1">IF(ISBLANK(INDIRECT(ADDRESS(B31*2+2,3))),"",INDIRECT(ADDRESS(B31*2+2,3)))</f>
        <v>Муругов Вадим</v>
      </c>
      <c r="D31" s="157"/>
      <c r="E31" s="159"/>
      <c r="F31" s="98">
        <v>13</v>
      </c>
      <c r="G31" s="99">
        <v>1</v>
      </c>
      <c r="H31" s="156" t="str">
        <f ca="1">IF(ISBLANK(INDIRECT(ADDRESS(K31*2+2,3))),"",INDIRECT(ADDRESS(K31*2+2,3)))</f>
        <v>Герасимов Никита</v>
      </c>
      <c r="I31" s="157"/>
      <c r="J31" s="157"/>
      <c r="K31" s="5">
        <v>4</v>
      </c>
      <c r="L31" s="30" t="s">
        <v>11</v>
      </c>
      <c r="M31" s="31">
        <v>1</v>
      </c>
    </row>
    <row r="32" spans="2:16" customFormat="1" ht="30" customHeight="1" thickBot="1">
      <c r="B32" s="5">
        <v>7</v>
      </c>
      <c r="C32" s="157" t="str">
        <f ca="1">IF(ISBLANK(INDIRECT(ADDRESS(B32*2+2,3))),"",INDIRECT(ADDRESS(B32*2+2,3)))</f>
        <v>Набиулин Эмиль</v>
      </c>
      <c r="D32" s="157"/>
      <c r="E32" s="159"/>
      <c r="F32" s="98">
        <v>7</v>
      </c>
      <c r="G32" s="99">
        <v>13</v>
      </c>
      <c r="H32" s="156" t="str">
        <f ca="1">IF(ISBLANK(INDIRECT(ADDRESS(K32*2+2,3))),"",INDIRECT(ADDRESS(K32*2+2,3)))</f>
        <v>Лукин Сергей</v>
      </c>
      <c r="I32" s="157"/>
      <c r="J32" s="157"/>
      <c r="K32" s="5">
        <v>3</v>
      </c>
      <c r="L32" s="30" t="s">
        <v>11</v>
      </c>
      <c r="M32" s="31">
        <v>4</v>
      </c>
    </row>
    <row r="33" spans="2:13" customFormat="1" ht="30" customHeight="1" thickBot="1">
      <c r="B33" s="5">
        <v>1</v>
      </c>
      <c r="C33" s="157" t="str">
        <f ca="1">IF(ISBLANK(INDIRECT(ADDRESS(B33*2+2,3))),"",INDIRECT(ADDRESS(B33*2+2,3)))</f>
        <v>Капран-Индаяти Сергей</v>
      </c>
      <c r="D33" s="157"/>
      <c r="E33" s="159"/>
      <c r="F33" s="98">
        <v>10</v>
      </c>
      <c r="G33" s="99">
        <v>13</v>
      </c>
      <c r="H33" s="156" t="str">
        <f ca="1">IF(ISBLANK(INDIRECT(ADDRESS(K33*2+2,3))),"",INDIRECT(ADDRESS(K33*2+2,3)))</f>
        <v>Овчинников Тимофей</v>
      </c>
      <c r="I33" s="157"/>
      <c r="J33" s="157"/>
      <c r="K33" s="5">
        <v>2</v>
      </c>
      <c r="L33" s="30" t="s">
        <v>11</v>
      </c>
      <c r="M33" s="31">
        <v>3</v>
      </c>
    </row>
    <row r="34" spans="2:13" customFormat="1" ht="30" customHeight="1">
      <c r="M34" s="33"/>
    </row>
    <row r="35" spans="2:13" customFormat="1" ht="30" customHeight="1" thickBot="1">
      <c r="B35" s="158" t="s">
        <v>6</v>
      </c>
      <c r="C35" s="158"/>
      <c r="D35" s="158"/>
      <c r="E35" s="158"/>
      <c r="F35" s="158"/>
      <c r="G35" s="158"/>
      <c r="H35" s="158"/>
      <c r="I35" s="158"/>
      <c r="J35" s="158"/>
      <c r="K35" s="158"/>
      <c r="M35" s="33"/>
    </row>
    <row r="36" spans="2:13" customFormat="1" ht="30" customHeight="1" thickBot="1">
      <c r="B36" s="5">
        <v>2</v>
      </c>
      <c r="C36" s="157" t="str">
        <f ca="1">IF(ISBLANK(INDIRECT(ADDRESS(B36*2+2,3))),"",INDIRECT(ADDRESS(B36*2+2,3)))</f>
        <v>Овчинников Тимофей</v>
      </c>
      <c r="D36" s="157"/>
      <c r="E36" s="159"/>
      <c r="F36" s="98">
        <v>13</v>
      </c>
      <c r="G36" s="99">
        <v>8</v>
      </c>
      <c r="H36" s="156" t="str">
        <f ca="1">IF(ISBLANK(INDIRECT(ADDRESS(K36*2+2,3))),"",INDIRECT(ADDRESS(K36*2+2,3)))</f>
        <v>Попов Станислав</v>
      </c>
      <c r="I36" s="157"/>
      <c r="J36" s="157"/>
      <c r="K36" s="5">
        <v>8</v>
      </c>
      <c r="L36" s="30" t="s">
        <v>11</v>
      </c>
      <c r="M36" s="31">
        <v>4</v>
      </c>
    </row>
    <row r="37" spans="2:13" customFormat="1" ht="30" customHeight="1" thickBot="1">
      <c r="B37" s="5">
        <v>3</v>
      </c>
      <c r="C37" s="157" t="str">
        <f ca="1">IF(ISBLANK(INDIRECT(ADDRESS(B37*2+2,3))),"",INDIRECT(ADDRESS(B37*2+2,3)))</f>
        <v>Лукин Сергей</v>
      </c>
      <c r="D37" s="157"/>
      <c r="E37" s="159"/>
      <c r="F37" s="98">
        <v>13</v>
      </c>
      <c r="G37" s="99">
        <v>8</v>
      </c>
      <c r="H37" s="156" t="str">
        <f ca="1">IF(ISBLANK(INDIRECT(ADDRESS(K37*2+2,3))),"",INDIRECT(ADDRESS(K37*2+2,3)))</f>
        <v>Капран-Индаяти Сергей</v>
      </c>
      <c r="I37" s="157"/>
      <c r="J37" s="157"/>
      <c r="K37" s="5">
        <v>1</v>
      </c>
      <c r="L37" s="30" t="s">
        <v>11</v>
      </c>
      <c r="M37" s="31">
        <v>3</v>
      </c>
    </row>
    <row r="38" spans="2:13" customFormat="1" ht="30" customHeight="1" thickBot="1">
      <c r="B38" s="5">
        <v>4</v>
      </c>
      <c r="C38" s="157" t="str">
        <f ca="1">IF(ISBLANK(INDIRECT(ADDRESS(B38*2+2,3))),"",INDIRECT(ADDRESS(B38*2+2,3)))</f>
        <v>Герасимов Никита</v>
      </c>
      <c r="D38" s="157"/>
      <c r="E38" s="159"/>
      <c r="F38" s="98">
        <v>13</v>
      </c>
      <c r="G38" s="99">
        <v>7</v>
      </c>
      <c r="H38" s="156" t="str">
        <f ca="1">IF(ISBLANK(INDIRECT(ADDRESS(K38*2+2,3))),"",INDIRECT(ADDRESS(K38*2+2,3)))</f>
        <v>Набиулин Эмиль</v>
      </c>
      <c r="I38" s="157"/>
      <c r="J38" s="157"/>
      <c r="K38" s="5">
        <v>7</v>
      </c>
      <c r="L38" s="30" t="s">
        <v>11</v>
      </c>
      <c r="M38" s="31">
        <v>1</v>
      </c>
    </row>
    <row r="39" spans="2:13" customFormat="1" ht="30" customHeight="1" thickBot="1">
      <c r="B39" s="5">
        <v>5</v>
      </c>
      <c r="C39" s="157" t="str">
        <f ca="1">IF(ISBLANK(INDIRECT(ADDRESS(B39*2+2,3))),"",INDIRECT(ADDRESS(B39*2+2,3)))</f>
        <v>Косов Григорий</v>
      </c>
      <c r="D39" s="157"/>
      <c r="E39" s="159"/>
      <c r="F39" s="98">
        <v>4</v>
      </c>
      <c r="G39" s="99">
        <v>13</v>
      </c>
      <c r="H39" s="156" t="str">
        <f ca="1">IF(ISBLANK(INDIRECT(ADDRESS(K39*2+2,3))),"",INDIRECT(ADDRESS(K39*2+2,3)))</f>
        <v>Муругов Вадим</v>
      </c>
      <c r="I39" s="157"/>
      <c r="J39" s="157"/>
      <c r="K39" s="5">
        <v>6</v>
      </c>
      <c r="L39" s="30" t="s">
        <v>11</v>
      </c>
      <c r="M39" s="31">
        <v>2</v>
      </c>
    </row>
    <row r="40" spans="2:13" customFormat="1" ht="30" customHeight="1">
      <c r="M40" s="33"/>
    </row>
    <row r="41" spans="2:13" customFormat="1" ht="30" customHeight="1" thickBot="1">
      <c r="B41" s="158" t="s">
        <v>8</v>
      </c>
      <c r="C41" s="158"/>
      <c r="D41" s="158"/>
      <c r="E41" s="158"/>
      <c r="F41" s="158"/>
      <c r="G41" s="158"/>
      <c r="H41" s="158"/>
      <c r="I41" s="158"/>
      <c r="J41" s="158"/>
      <c r="K41" s="158"/>
      <c r="M41" s="33"/>
    </row>
    <row r="42" spans="2:13" customFormat="1" ht="30" customHeight="1" thickBot="1">
      <c r="B42" s="5">
        <v>8</v>
      </c>
      <c r="C42" s="157" t="str">
        <f ca="1">IF(ISBLANK(INDIRECT(ADDRESS(B42*2+2,3))),"",INDIRECT(ADDRESS(B42*2+2,3)))</f>
        <v>Попов Станислав</v>
      </c>
      <c r="D42" s="157"/>
      <c r="E42" s="159"/>
      <c r="F42" s="98">
        <v>8</v>
      </c>
      <c r="G42" s="99">
        <v>13</v>
      </c>
      <c r="H42" s="156" t="str">
        <f ca="1">IF(ISBLANK(INDIRECT(ADDRESS(K42*2+2,3))),"",INDIRECT(ADDRESS(K42*2+2,3)))</f>
        <v>Муругов Вадим</v>
      </c>
      <c r="I42" s="157"/>
      <c r="J42" s="157"/>
      <c r="K42" s="5">
        <v>6</v>
      </c>
      <c r="L42" s="30" t="s">
        <v>11</v>
      </c>
      <c r="M42" s="31">
        <v>2</v>
      </c>
    </row>
    <row r="43" spans="2:13" customFormat="1" ht="30" customHeight="1" thickBot="1">
      <c r="B43" s="5">
        <v>7</v>
      </c>
      <c r="C43" s="157" t="str">
        <f ca="1">IF(ISBLANK(INDIRECT(ADDRESS(B43*2+2,3))),"",INDIRECT(ADDRESS(B43*2+2,3)))</f>
        <v>Набиулин Эмиль</v>
      </c>
      <c r="D43" s="157"/>
      <c r="E43" s="159"/>
      <c r="F43" s="98">
        <v>7</v>
      </c>
      <c r="G43" s="99">
        <v>13</v>
      </c>
      <c r="H43" s="156" t="str">
        <f ca="1">IF(ISBLANK(INDIRECT(ADDRESS(K43*2+2,3))),"",INDIRECT(ADDRESS(K43*2+2,3)))</f>
        <v>Косов Григорий</v>
      </c>
      <c r="I43" s="157"/>
      <c r="J43" s="157"/>
      <c r="K43" s="5">
        <v>5</v>
      </c>
      <c r="L43" s="30" t="s">
        <v>11</v>
      </c>
      <c r="M43" s="31">
        <v>3</v>
      </c>
    </row>
    <row r="44" spans="2:13" customFormat="1" ht="30" customHeight="1" thickBot="1">
      <c r="B44" s="5">
        <v>1</v>
      </c>
      <c r="C44" s="157" t="str">
        <f ca="1">IF(ISBLANK(INDIRECT(ADDRESS(B44*2+2,3))),"",INDIRECT(ADDRESS(B44*2+2,3)))</f>
        <v>Капран-Индаяти Сергей</v>
      </c>
      <c r="D44" s="157"/>
      <c r="E44" s="159"/>
      <c r="F44" s="98">
        <v>13</v>
      </c>
      <c r="G44" s="99">
        <v>3</v>
      </c>
      <c r="H44" s="156" t="str">
        <f ca="1">IF(ISBLANK(INDIRECT(ADDRESS(K44*2+2,3))),"",INDIRECT(ADDRESS(K44*2+2,3)))</f>
        <v>Герасимов Никита</v>
      </c>
      <c r="I44" s="157"/>
      <c r="J44" s="157"/>
      <c r="K44" s="5">
        <v>4</v>
      </c>
      <c r="L44" s="30" t="s">
        <v>11</v>
      </c>
      <c r="M44" s="31">
        <v>4</v>
      </c>
    </row>
    <row r="45" spans="2:13" customFormat="1" ht="30" customHeight="1" thickBot="1">
      <c r="B45" s="5">
        <v>2</v>
      </c>
      <c r="C45" s="157" t="str">
        <f ca="1">IF(ISBLANK(INDIRECT(ADDRESS(B45*2+2,3))),"",INDIRECT(ADDRESS(B45*2+2,3)))</f>
        <v>Овчинников Тимофей</v>
      </c>
      <c r="D45" s="157"/>
      <c r="E45" s="159"/>
      <c r="F45" s="98">
        <v>10</v>
      </c>
      <c r="G45" s="99">
        <v>13</v>
      </c>
      <c r="H45" s="156" t="str">
        <f ca="1">IF(ISBLANK(INDIRECT(ADDRESS(K45*2+2,3))),"",INDIRECT(ADDRESS(K45*2+2,3)))</f>
        <v>Лукин Сергей</v>
      </c>
      <c r="I45" s="157"/>
      <c r="J45" s="157"/>
      <c r="K45" s="5">
        <v>3</v>
      </c>
      <c r="L45" s="30" t="s">
        <v>11</v>
      </c>
      <c r="M45" s="31">
        <v>1</v>
      </c>
    </row>
    <row r="46" spans="2:13" customFormat="1" ht="30" customHeight="1">
      <c r="M46" s="33"/>
    </row>
    <row r="47" spans="2:13" customFormat="1" ht="30" customHeight="1" thickBot="1">
      <c r="B47" s="158" t="s">
        <v>9</v>
      </c>
      <c r="C47" s="158"/>
      <c r="D47" s="158"/>
      <c r="E47" s="158"/>
      <c r="F47" s="158"/>
      <c r="G47" s="158"/>
      <c r="H47" s="158"/>
      <c r="I47" s="158"/>
      <c r="J47" s="158"/>
      <c r="K47" s="158"/>
      <c r="M47" s="33"/>
    </row>
    <row r="48" spans="2:13" customFormat="1" ht="30" customHeight="1" thickBot="1">
      <c r="B48" s="5">
        <v>3</v>
      </c>
      <c r="C48" s="157" t="str">
        <f ca="1">IF(ISBLANK(INDIRECT(ADDRESS(B48*2+2,3))),"",INDIRECT(ADDRESS(B48*2+2,3)))</f>
        <v>Лукин Сергей</v>
      </c>
      <c r="D48" s="157"/>
      <c r="E48" s="159"/>
      <c r="F48" s="98">
        <v>13</v>
      </c>
      <c r="G48" s="99">
        <v>4</v>
      </c>
      <c r="H48" s="156" t="str">
        <f ca="1">IF(ISBLANK(INDIRECT(ADDRESS(K48*2+2,3))),"",INDIRECT(ADDRESS(K48*2+2,3)))</f>
        <v>Попов Станислав</v>
      </c>
      <c r="I48" s="157"/>
      <c r="J48" s="157"/>
      <c r="K48" s="5">
        <v>8</v>
      </c>
      <c r="L48" s="30" t="s">
        <v>11</v>
      </c>
      <c r="M48" s="31">
        <v>4</v>
      </c>
    </row>
    <row r="49" spans="2:13" customFormat="1" ht="30" customHeight="1" thickBot="1">
      <c r="B49" s="5">
        <v>4</v>
      </c>
      <c r="C49" s="157" t="str">
        <f ca="1">IF(ISBLANK(INDIRECT(ADDRESS(B49*2+2,3))),"",INDIRECT(ADDRESS(B49*2+2,3)))</f>
        <v>Герасимов Никита</v>
      </c>
      <c r="D49" s="157"/>
      <c r="E49" s="159"/>
      <c r="F49" s="98">
        <v>3</v>
      </c>
      <c r="G49" s="99">
        <v>13</v>
      </c>
      <c r="H49" s="156" t="str">
        <f ca="1">IF(ISBLANK(INDIRECT(ADDRESS(K49*2+2,3))),"",INDIRECT(ADDRESS(K49*2+2,3)))</f>
        <v>Овчинников Тимофей</v>
      </c>
      <c r="I49" s="157"/>
      <c r="J49" s="157"/>
      <c r="K49" s="5">
        <v>2</v>
      </c>
      <c r="L49" s="30" t="s">
        <v>11</v>
      </c>
      <c r="M49" s="31">
        <v>2</v>
      </c>
    </row>
    <row r="50" spans="2:13" customFormat="1" ht="30" customHeight="1" thickBot="1">
      <c r="B50" s="5">
        <v>5</v>
      </c>
      <c r="C50" s="157" t="str">
        <f ca="1">IF(ISBLANK(INDIRECT(ADDRESS(B50*2+2,3))),"",INDIRECT(ADDRESS(B50*2+2,3)))</f>
        <v>Косов Григорий</v>
      </c>
      <c r="D50" s="157"/>
      <c r="E50" s="159"/>
      <c r="F50" s="98">
        <v>10</v>
      </c>
      <c r="G50" s="99">
        <v>13</v>
      </c>
      <c r="H50" s="156" t="str">
        <f ca="1">IF(ISBLANK(INDIRECT(ADDRESS(K50*2+2,3))),"",INDIRECT(ADDRESS(K50*2+2,3)))</f>
        <v>Капран-Индаяти Сергей</v>
      </c>
      <c r="I50" s="157"/>
      <c r="J50" s="157"/>
      <c r="K50" s="5">
        <v>1</v>
      </c>
      <c r="L50" s="30" t="s">
        <v>11</v>
      </c>
      <c r="M50" s="31">
        <v>1</v>
      </c>
    </row>
    <row r="51" spans="2:13" customFormat="1" ht="30" customHeight="1" thickBot="1">
      <c r="B51" s="5">
        <v>6</v>
      </c>
      <c r="C51" s="157" t="str">
        <f ca="1">IF(ISBLANK(INDIRECT(ADDRESS(B51*2+2,3))),"",INDIRECT(ADDRESS(B51*2+2,3)))</f>
        <v>Муругов Вадим</v>
      </c>
      <c r="D51" s="157"/>
      <c r="E51" s="159"/>
      <c r="F51" s="98">
        <v>13</v>
      </c>
      <c r="G51" s="99">
        <v>7</v>
      </c>
      <c r="H51" s="156" t="str">
        <f ca="1">IF(ISBLANK(INDIRECT(ADDRESS(K51*2+2,3))),"",INDIRECT(ADDRESS(K51*2+2,3)))</f>
        <v>Набиулин Эмиль</v>
      </c>
      <c r="I51" s="157"/>
      <c r="J51" s="157"/>
      <c r="K51" s="5">
        <v>7</v>
      </c>
      <c r="L51" s="30" t="s">
        <v>11</v>
      </c>
      <c r="M51" s="31">
        <v>3</v>
      </c>
    </row>
    <row r="52" spans="2:13" customFormat="1" ht="30" customHeight="1">
      <c r="M52" s="33"/>
    </row>
    <row r="53" spans="2:13" customFormat="1" ht="30" customHeight="1" thickBot="1">
      <c r="B53" s="158" t="s">
        <v>12</v>
      </c>
      <c r="C53" s="158"/>
      <c r="D53" s="158"/>
      <c r="E53" s="158"/>
      <c r="F53" s="158"/>
      <c r="G53" s="158"/>
      <c r="H53" s="158"/>
      <c r="I53" s="158"/>
      <c r="J53" s="158"/>
      <c r="K53" s="158"/>
      <c r="M53" s="33"/>
    </row>
    <row r="54" spans="2:13" customFormat="1" ht="30" customHeight="1" thickBot="1">
      <c r="B54" s="5">
        <v>8</v>
      </c>
      <c r="C54" s="157" t="str">
        <f ca="1">IF(ISBLANK(INDIRECT(ADDRESS(B54*2+2,3))),"",INDIRECT(ADDRESS(B54*2+2,3)))</f>
        <v>Попов Станислав</v>
      </c>
      <c r="D54" s="157"/>
      <c r="E54" s="159"/>
      <c r="F54" s="98">
        <v>13</v>
      </c>
      <c r="G54" s="99">
        <v>7</v>
      </c>
      <c r="H54" s="156" t="str">
        <f ca="1">IF(ISBLANK(INDIRECT(ADDRESS(K54*2+2,3))),"",INDIRECT(ADDRESS(K54*2+2,3)))</f>
        <v>Набиулин Эмиль</v>
      </c>
      <c r="I54" s="157"/>
      <c r="J54" s="157"/>
      <c r="K54" s="5">
        <v>7</v>
      </c>
      <c r="L54" s="30" t="s">
        <v>11</v>
      </c>
      <c r="M54" s="31">
        <v>1</v>
      </c>
    </row>
    <row r="55" spans="2:13" customFormat="1" ht="30" customHeight="1" thickBot="1">
      <c r="B55" s="5">
        <v>1</v>
      </c>
      <c r="C55" s="157" t="str">
        <f ca="1">IF(ISBLANK(INDIRECT(ADDRESS(B55*2+2,3))),"",INDIRECT(ADDRESS(B55*2+2,3)))</f>
        <v>Капран-Индаяти Сергей</v>
      </c>
      <c r="D55" s="157"/>
      <c r="E55" s="159"/>
      <c r="F55" s="98">
        <v>13</v>
      </c>
      <c r="G55" s="99">
        <v>6</v>
      </c>
      <c r="H55" s="156" t="str">
        <f ca="1">IF(ISBLANK(INDIRECT(ADDRESS(K55*2+2,3))),"",INDIRECT(ADDRESS(K55*2+2,3)))</f>
        <v>Муругов Вадим</v>
      </c>
      <c r="I55" s="157"/>
      <c r="J55" s="157"/>
      <c r="K55" s="5">
        <v>6</v>
      </c>
      <c r="L55" s="30" t="s">
        <v>11</v>
      </c>
      <c r="M55" s="31">
        <v>4</v>
      </c>
    </row>
    <row r="56" spans="2:13" customFormat="1" ht="30" customHeight="1" thickBot="1">
      <c r="B56" s="5">
        <v>2</v>
      </c>
      <c r="C56" s="157" t="str">
        <f ca="1">IF(ISBLANK(INDIRECT(ADDRESS(B56*2+2,3))),"",INDIRECT(ADDRESS(B56*2+2,3)))</f>
        <v>Овчинников Тимофей</v>
      </c>
      <c r="D56" s="157"/>
      <c r="E56" s="159"/>
      <c r="F56" s="98">
        <v>13</v>
      </c>
      <c r="G56" s="99">
        <v>6</v>
      </c>
      <c r="H56" s="156" t="str">
        <f ca="1">IF(ISBLANK(INDIRECT(ADDRESS(K56*2+2,3))),"",INDIRECT(ADDRESS(K56*2+2,3)))</f>
        <v>Косов Григорий</v>
      </c>
      <c r="I56" s="157"/>
      <c r="J56" s="157"/>
      <c r="K56" s="5">
        <v>5</v>
      </c>
      <c r="L56" s="30" t="s">
        <v>11</v>
      </c>
      <c r="M56" s="31">
        <v>3</v>
      </c>
    </row>
    <row r="57" spans="2:13" customFormat="1" ht="30" customHeight="1" thickBot="1">
      <c r="B57" s="5">
        <v>3</v>
      </c>
      <c r="C57" s="157" t="str">
        <f ca="1">IF(ISBLANK(INDIRECT(ADDRESS(B57*2+2,3))),"",INDIRECT(ADDRESS(B57*2+2,3)))</f>
        <v>Лукин Сергей</v>
      </c>
      <c r="D57" s="157"/>
      <c r="E57" s="159"/>
      <c r="F57" s="98">
        <v>13</v>
      </c>
      <c r="G57" s="99">
        <v>8</v>
      </c>
      <c r="H57" s="156" t="str">
        <f ca="1">IF(ISBLANK(INDIRECT(ADDRESS(K57*2+2,3))),"",INDIRECT(ADDRESS(K57*2+2,3)))</f>
        <v>Герасимов Никита</v>
      </c>
      <c r="I57" s="157"/>
      <c r="J57" s="157"/>
      <c r="K57" s="5">
        <v>4</v>
      </c>
      <c r="L57" s="30" t="s">
        <v>11</v>
      </c>
      <c r="M57" s="31">
        <v>2</v>
      </c>
    </row>
    <row r="58" spans="2:13" customFormat="1" ht="30" customHeight="1">
      <c r="M58" s="33"/>
    </row>
    <row r="59" spans="2:13" customFormat="1" ht="30" customHeight="1" thickBot="1">
      <c r="B59" s="158" t="s">
        <v>13</v>
      </c>
      <c r="C59" s="158"/>
      <c r="D59" s="158"/>
      <c r="E59" s="158"/>
      <c r="F59" s="158"/>
      <c r="G59" s="158"/>
      <c r="H59" s="158"/>
      <c r="I59" s="158"/>
      <c r="J59" s="158"/>
      <c r="K59" s="158"/>
      <c r="M59" s="33"/>
    </row>
    <row r="60" spans="2:13" customFormat="1" ht="30" customHeight="1" thickBot="1">
      <c r="B60" s="5">
        <v>4</v>
      </c>
      <c r="C60" s="157" t="str">
        <f ca="1">IF(ISBLANK(INDIRECT(ADDRESS(B60*2+2,3))),"",INDIRECT(ADDRESS(B60*2+2,3)))</f>
        <v>Герасимов Никита</v>
      </c>
      <c r="D60" s="157"/>
      <c r="E60" s="159"/>
      <c r="F60" s="98">
        <v>8</v>
      </c>
      <c r="G60" s="99">
        <v>13</v>
      </c>
      <c r="H60" s="156" t="str">
        <f ca="1">IF(ISBLANK(INDIRECT(ADDRESS(K60*2+2,3))),"",INDIRECT(ADDRESS(K60*2+2,3)))</f>
        <v>Попов Станислав</v>
      </c>
      <c r="I60" s="157"/>
      <c r="J60" s="157"/>
      <c r="K60" s="5">
        <v>8</v>
      </c>
      <c r="L60" s="30" t="s">
        <v>11</v>
      </c>
      <c r="M60" s="31">
        <v>3</v>
      </c>
    </row>
    <row r="61" spans="2:13" customFormat="1" ht="30" customHeight="1" thickBot="1">
      <c r="B61" s="5">
        <v>5</v>
      </c>
      <c r="C61" s="157" t="str">
        <f ca="1">IF(ISBLANK(INDIRECT(ADDRESS(B61*2+2,3))),"",INDIRECT(ADDRESS(B61*2+2,3)))</f>
        <v>Косов Григорий</v>
      </c>
      <c r="D61" s="157"/>
      <c r="E61" s="159"/>
      <c r="F61" s="98">
        <v>9</v>
      </c>
      <c r="G61" s="99">
        <v>13</v>
      </c>
      <c r="H61" s="156" t="str">
        <f ca="1">IF(ISBLANK(INDIRECT(ADDRESS(K61*2+2,3))),"",INDIRECT(ADDRESS(K61*2+2,3)))</f>
        <v>Лукин Сергей</v>
      </c>
      <c r="I61" s="157"/>
      <c r="J61" s="157"/>
      <c r="K61" s="5">
        <v>3</v>
      </c>
      <c r="L61" s="30" t="s">
        <v>11</v>
      </c>
      <c r="M61" s="31">
        <v>1</v>
      </c>
    </row>
    <row r="62" spans="2:13" customFormat="1" ht="30" customHeight="1" thickBot="1">
      <c r="B62" s="5">
        <v>6</v>
      </c>
      <c r="C62" s="157" t="str">
        <f ca="1">IF(ISBLANK(INDIRECT(ADDRESS(B62*2+2,3))),"",INDIRECT(ADDRESS(B62*2+2,3)))</f>
        <v>Муругов Вадим</v>
      </c>
      <c r="D62" s="157"/>
      <c r="E62" s="159"/>
      <c r="F62" s="98">
        <v>13</v>
      </c>
      <c r="G62" s="99">
        <v>7</v>
      </c>
      <c r="H62" s="156" t="str">
        <f ca="1">IF(ISBLANK(INDIRECT(ADDRESS(K62*2+2,3))),"",INDIRECT(ADDRESS(K62*2+2,3)))</f>
        <v>Овчинников Тимофей</v>
      </c>
      <c r="I62" s="157"/>
      <c r="J62" s="157"/>
      <c r="K62" s="5">
        <v>2</v>
      </c>
      <c r="L62" s="30" t="s">
        <v>11</v>
      </c>
      <c r="M62" s="31">
        <v>4</v>
      </c>
    </row>
    <row r="63" spans="2:13" customFormat="1" ht="30" customHeight="1" thickBot="1">
      <c r="B63" s="5">
        <v>7</v>
      </c>
      <c r="C63" s="157" t="str">
        <f ca="1">IF(ISBLANK(INDIRECT(ADDRESS(B63*2+2,3))),"",INDIRECT(ADDRESS(B63*2+2,3)))</f>
        <v>Набиулин Эмиль</v>
      </c>
      <c r="D63" s="157"/>
      <c r="E63" s="159"/>
      <c r="F63" s="98">
        <v>7</v>
      </c>
      <c r="G63" s="99">
        <v>13</v>
      </c>
      <c r="H63" s="156" t="str">
        <f ca="1">IF(ISBLANK(INDIRECT(ADDRESS(K63*2+2,3))),"",INDIRECT(ADDRESS(K63*2+2,3)))</f>
        <v>Капран-Индаяти Сергей</v>
      </c>
      <c r="I63" s="157"/>
      <c r="J63" s="157"/>
      <c r="K63" s="5">
        <v>1</v>
      </c>
      <c r="L63" s="30" t="s">
        <v>11</v>
      </c>
      <c r="M63" s="31">
        <v>2</v>
      </c>
    </row>
    <row r="66" spans="2:4" ht="21">
      <c r="B66" s="44" t="s">
        <v>16</v>
      </c>
      <c r="C66" s="44"/>
      <c r="D66" s="44"/>
    </row>
    <row r="67" spans="2:4" ht="21">
      <c r="B67" s="44"/>
      <c r="C67" s="44"/>
      <c r="D67" s="44"/>
    </row>
    <row r="68" spans="2:4" ht="21">
      <c r="B68" s="44"/>
      <c r="C68" s="44"/>
      <c r="D68" s="44"/>
    </row>
    <row r="69" spans="2:4" ht="21">
      <c r="B69" s="44" t="s">
        <v>25</v>
      </c>
      <c r="C69" s="44"/>
      <c r="D69" s="44"/>
    </row>
  </sheetData>
  <sheetCalcPr fullCalcOnLoad="1"/>
  <mergeCells count="97">
    <mergeCell ref="C63:E63"/>
    <mergeCell ref="H63:J63"/>
    <mergeCell ref="C60:E60"/>
    <mergeCell ref="H60:J60"/>
    <mergeCell ref="C61:E61"/>
    <mergeCell ref="H61:J61"/>
    <mergeCell ref="C62:E62"/>
    <mergeCell ref="H62:J62"/>
    <mergeCell ref="B59:K59"/>
    <mergeCell ref="C55:E55"/>
    <mergeCell ref="H55:J55"/>
    <mergeCell ref="C57:E57"/>
    <mergeCell ref="H57:J57"/>
    <mergeCell ref="C56:E56"/>
    <mergeCell ref="H56:J56"/>
    <mergeCell ref="C32:E32"/>
    <mergeCell ref="H32:J32"/>
    <mergeCell ref="C33:E33"/>
    <mergeCell ref="B53:K53"/>
    <mergeCell ref="C54:E54"/>
    <mergeCell ref="H54:J54"/>
    <mergeCell ref="H36:J36"/>
    <mergeCell ref="C37:E37"/>
    <mergeCell ref="H37:J37"/>
    <mergeCell ref="B29:K29"/>
    <mergeCell ref="B41:K41"/>
    <mergeCell ref="C42:E42"/>
    <mergeCell ref="H42:J42"/>
    <mergeCell ref="C30:E30"/>
    <mergeCell ref="H30:J30"/>
    <mergeCell ref="C31:E31"/>
    <mergeCell ref="H49:J49"/>
    <mergeCell ref="C50:E50"/>
    <mergeCell ref="H50:J50"/>
    <mergeCell ref="C48:E48"/>
    <mergeCell ref="C43:E43"/>
    <mergeCell ref="H43:J43"/>
    <mergeCell ref="H24:J24"/>
    <mergeCell ref="C25:E25"/>
    <mergeCell ref="H25:J25"/>
    <mergeCell ref="C26:E26"/>
    <mergeCell ref="C51:E51"/>
    <mergeCell ref="H51:J51"/>
    <mergeCell ref="C38:E38"/>
    <mergeCell ref="H38:J38"/>
    <mergeCell ref="C44:E44"/>
    <mergeCell ref="C49:E49"/>
    <mergeCell ref="B18:B19"/>
    <mergeCell ref="C18:E19"/>
    <mergeCell ref="H26:J26"/>
    <mergeCell ref="H31:J31"/>
    <mergeCell ref="N18:N19"/>
    <mergeCell ref="P18:P19"/>
    <mergeCell ref="C27:E27"/>
    <mergeCell ref="H27:J27"/>
    <mergeCell ref="B23:K23"/>
    <mergeCell ref="C24:E24"/>
    <mergeCell ref="H48:J48"/>
    <mergeCell ref="H44:J44"/>
    <mergeCell ref="B47:K47"/>
    <mergeCell ref="C45:E45"/>
    <mergeCell ref="H45:J45"/>
    <mergeCell ref="H33:J33"/>
    <mergeCell ref="C39:E39"/>
    <mergeCell ref="H39:J39"/>
    <mergeCell ref="B35:K35"/>
    <mergeCell ref="C36:E36"/>
    <mergeCell ref="N14:N15"/>
    <mergeCell ref="P14:P15"/>
    <mergeCell ref="B16:B17"/>
    <mergeCell ref="C16:E17"/>
    <mergeCell ref="N16:N17"/>
    <mergeCell ref="P16:P17"/>
    <mergeCell ref="B14:B15"/>
    <mergeCell ref="C14:E15"/>
    <mergeCell ref="B12:B13"/>
    <mergeCell ref="C12:E13"/>
    <mergeCell ref="N12:N13"/>
    <mergeCell ref="P12:P13"/>
    <mergeCell ref="B10:B11"/>
    <mergeCell ref="C10:E11"/>
    <mergeCell ref="N10:N11"/>
    <mergeCell ref="P10:P11"/>
    <mergeCell ref="B8:B9"/>
    <mergeCell ref="C8:E9"/>
    <mergeCell ref="N8:N9"/>
    <mergeCell ref="P8:P9"/>
    <mergeCell ref="B6:B7"/>
    <mergeCell ref="C6:E7"/>
    <mergeCell ref="N6:N7"/>
    <mergeCell ref="P6:P7"/>
    <mergeCell ref="B1:P1"/>
    <mergeCell ref="P4:P5"/>
    <mergeCell ref="C3:E3"/>
    <mergeCell ref="B4:B5"/>
    <mergeCell ref="C4:E5"/>
    <mergeCell ref="N4:N5"/>
  </mergeCells>
  <phoneticPr fontId="17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45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zoomScaleNormal="100" workbookViewId="0">
      <selection activeCell="K33" sqref="K33"/>
    </sheetView>
  </sheetViews>
  <sheetFormatPr defaultRowHeight="15"/>
  <cols>
    <col min="2" max="2" width="23.7109375" customWidth="1"/>
    <col min="3" max="3" width="22.42578125" customWidth="1"/>
    <col min="4" max="4" width="36.7109375" customWidth="1"/>
  </cols>
  <sheetData>
    <row r="1" spans="1:11" ht="54" customHeight="1">
      <c r="A1" s="166" t="s">
        <v>17</v>
      </c>
      <c r="B1" s="166"/>
      <c r="C1" s="166"/>
      <c r="D1" s="166"/>
      <c r="E1" s="46"/>
      <c r="F1" s="46"/>
      <c r="G1" s="46"/>
      <c r="H1" s="46"/>
      <c r="I1" s="46"/>
      <c r="J1" s="46"/>
      <c r="K1" s="46"/>
    </row>
    <row r="2" spans="1:11" ht="102.75" customHeight="1">
      <c r="A2" s="167" t="s">
        <v>45</v>
      </c>
      <c r="B2" s="167"/>
      <c r="C2" s="167"/>
      <c r="D2" s="167"/>
      <c r="E2" s="47"/>
      <c r="F2" s="47"/>
      <c r="G2" s="48"/>
      <c r="H2" s="48"/>
      <c r="I2" s="48"/>
      <c r="J2" s="48"/>
    </row>
    <row r="3" spans="1:11" ht="15.75" thickBot="1"/>
    <row r="4" spans="1:11">
      <c r="A4" s="49" t="s">
        <v>18</v>
      </c>
      <c r="B4" s="50" t="s">
        <v>19</v>
      </c>
      <c r="C4" s="51" t="s">
        <v>20</v>
      </c>
      <c r="D4" s="52" t="s">
        <v>21</v>
      </c>
    </row>
    <row r="5" spans="1:11">
      <c r="A5" s="53">
        <v>1</v>
      </c>
      <c r="B5" s="54" t="s">
        <v>32</v>
      </c>
      <c r="C5" s="55" t="s">
        <v>30</v>
      </c>
      <c r="D5" s="56">
        <v>15</v>
      </c>
      <c r="F5" s="62"/>
      <c r="G5" s="62"/>
      <c r="H5" s="62"/>
      <c r="I5" s="62"/>
    </row>
    <row r="6" spans="1:11">
      <c r="A6" s="53">
        <v>2</v>
      </c>
      <c r="B6" s="61" t="s">
        <v>27</v>
      </c>
      <c r="C6" s="55" t="s">
        <v>22</v>
      </c>
      <c r="D6" s="56">
        <v>13</v>
      </c>
      <c r="F6" s="63"/>
      <c r="G6" s="62"/>
      <c r="H6" s="62"/>
      <c r="I6" s="62"/>
    </row>
    <row r="7" spans="1:11">
      <c r="A7" s="53">
        <v>3</v>
      </c>
      <c r="B7" s="54" t="s">
        <v>37</v>
      </c>
      <c r="C7" s="55" t="s">
        <v>43</v>
      </c>
      <c r="D7" s="56">
        <v>11</v>
      </c>
      <c r="F7" s="62"/>
      <c r="G7" s="62"/>
      <c r="H7" s="62"/>
      <c r="I7" s="62"/>
    </row>
    <row r="8" spans="1:11">
      <c r="A8" s="53">
        <v>4</v>
      </c>
      <c r="B8" s="54" t="s">
        <v>14</v>
      </c>
      <c r="C8" s="55" t="s">
        <v>23</v>
      </c>
      <c r="D8" s="56">
        <v>10</v>
      </c>
      <c r="F8" s="62"/>
      <c r="G8" s="62"/>
      <c r="H8" s="62"/>
      <c r="I8" s="62"/>
    </row>
    <row r="9" spans="1:11">
      <c r="A9" s="53">
        <v>5</v>
      </c>
      <c r="B9" s="64" t="s">
        <v>39</v>
      </c>
      <c r="C9" s="55" t="s">
        <v>28</v>
      </c>
      <c r="D9" s="56">
        <v>9</v>
      </c>
      <c r="F9" s="62"/>
      <c r="G9" s="62"/>
      <c r="H9" s="62"/>
      <c r="I9" s="62"/>
    </row>
    <row r="10" spans="1:11">
      <c r="A10" s="53">
        <v>6</v>
      </c>
      <c r="B10" s="54" t="s">
        <v>41</v>
      </c>
      <c r="C10" s="55" t="s">
        <v>44</v>
      </c>
      <c r="D10" s="56">
        <v>8</v>
      </c>
      <c r="F10" s="62"/>
      <c r="G10" s="62"/>
      <c r="H10" s="62"/>
      <c r="I10" s="62"/>
    </row>
    <row r="11" spans="1:11">
      <c r="A11" s="53">
        <v>7</v>
      </c>
      <c r="B11" s="54" t="s">
        <v>38</v>
      </c>
      <c r="C11" s="55" t="s">
        <v>28</v>
      </c>
      <c r="D11" s="56">
        <v>7</v>
      </c>
      <c r="F11" s="62"/>
      <c r="G11" s="62"/>
      <c r="H11" s="62"/>
      <c r="I11" s="62"/>
    </row>
    <row r="12" spans="1:11" ht="15.75" thickBot="1">
      <c r="A12" s="57">
        <v>8</v>
      </c>
      <c r="B12" s="58" t="s">
        <v>40</v>
      </c>
      <c r="C12" s="59" t="s">
        <v>44</v>
      </c>
      <c r="D12" s="60">
        <v>6</v>
      </c>
      <c r="F12" s="62"/>
      <c r="G12" s="62"/>
      <c r="H12" s="62"/>
      <c r="I12" s="62"/>
    </row>
    <row r="13" spans="1:11">
      <c r="F13" s="62"/>
      <c r="G13" s="62"/>
      <c r="H13" s="62"/>
      <c r="I13" s="62"/>
    </row>
    <row r="14" spans="1:11" ht="21">
      <c r="E14" s="44"/>
      <c r="F14" s="62"/>
      <c r="G14" s="62"/>
      <c r="H14" s="62"/>
      <c r="I14" s="62"/>
    </row>
    <row r="15" spans="1:11" ht="21">
      <c r="A15" s="35"/>
      <c r="B15" s="44" t="s">
        <v>16</v>
      </c>
      <c r="C15" s="44"/>
      <c r="D15" s="44"/>
      <c r="E15" s="44"/>
      <c r="F15" s="62"/>
      <c r="G15" s="62"/>
      <c r="H15" s="62"/>
      <c r="I15" s="62"/>
    </row>
    <row r="16" spans="1:11" ht="21">
      <c r="A16" s="35"/>
      <c r="B16" s="44"/>
      <c r="C16" s="44"/>
      <c r="D16" s="44"/>
      <c r="E16" s="44"/>
      <c r="F16" s="62"/>
      <c r="G16" s="62"/>
      <c r="H16" s="62"/>
      <c r="I16" s="62"/>
    </row>
    <row r="17" spans="1:9" ht="21">
      <c r="A17" s="35"/>
      <c r="B17" s="44"/>
      <c r="C17" s="44"/>
      <c r="D17" s="44"/>
      <c r="E17" s="44"/>
      <c r="F17" s="62"/>
      <c r="G17" s="62"/>
      <c r="H17" s="62"/>
      <c r="I17" s="62"/>
    </row>
    <row r="18" spans="1:9" ht="21">
      <c r="A18" s="35"/>
      <c r="B18" s="44" t="s">
        <v>25</v>
      </c>
      <c r="C18" s="44"/>
      <c r="D18" s="44"/>
      <c r="E18" s="44"/>
      <c r="F18" s="62"/>
      <c r="G18" s="62"/>
      <c r="H18" s="62"/>
      <c r="I18" s="62"/>
    </row>
    <row r="19" spans="1:9">
      <c r="F19" s="62"/>
      <c r="G19" s="62"/>
      <c r="H19" s="62"/>
      <c r="I19" s="62"/>
    </row>
    <row r="20" spans="1:9">
      <c r="F20" s="62"/>
      <c r="G20" s="62"/>
      <c r="H20" s="62"/>
      <c r="I20" s="62"/>
    </row>
    <row r="22" spans="1:9" ht="21">
      <c r="F22" s="44"/>
      <c r="G22" s="44"/>
      <c r="H22" s="45"/>
    </row>
    <row r="23" spans="1:9" ht="15" customHeight="1">
      <c r="F23" s="44"/>
      <c r="G23" s="44"/>
      <c r="H23" s="45"/>
    </row>
    <row r="24" spans="1:9" ht="15" customHeight="1">
      <c r="F24" s="44"/>
      <c r="G24" s="44"/>
      <c r="H24" s="45"/>
    </row>
    <row r="25" spans="1:9" ht="21">
      <c r="F25" s="44"/>
      <c r="G25" s="44"/>
      <c r="H25" s="45"/>
    </row>
    <row r="26" spans="1:9" ht="21">
      <c r="F26" s="44"/>
      <c r="G26" s="45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B1" sqref="B1:M1"/>
    </sheetView>
  </sheetViews>
  <sheetFormatPr defaultRowHeight="15"/>
  <cols>
    <col min="1" max="1" width="4" style="35" customWidth="1"/>
    <col min="2" max="12" width="10.28515625" customWidth="1"/>
    <col min="13" max="13" width="10.28515625" style="33" customWidth="1"/>
    <col min="14" max="15" width="10.28515625" customWidth="1"/>
  </cols>
  <sheetData>
    <row r="1" spans="2:16" ht="36" customHeight="1">
      <c r="B1" s="168" t="s">
        <v>46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27"/>
      <c r="O1" s="127"/>
      <c r="P1" s="127"/>
    </row>
    <row r="2" spans="2:16" ht="15.75" thickBot="1">
      <c r="M2"/>
    </row>
    <row r="3" spans="2:16" ht="30" customHeight="1" thickBot="1">
      <c r="B3" s="23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3" t="s">
        <v>1</v>
      </c>
      <c r="L3" s="1" t="s">
        <v>3</v>
      </c>
      <c r="M3" s="100" t="s">
        <v>2</v>
      </c>
    </row>
    <row r="4" spans="2:16" ht="24" customHeight="1">
      <c r="B4" s="135">
        <v>1</v>
      </c>
      <c r="C4" s="137" t="s">
        <v>26</v>
      </c>
      <c r="D4" s="138"/>
      <c r="E4" s="139"/>
      <c r="F4" s="101" t="s">
        <v>7</v>
      </c>
      <c r="G4" s="102" t="str">
        <f ca="1">INDIRECT(ADDRESS(23,6))&amp;":"&amp;INDIRECT(ADDRESS(23,7))</f>
        <v>13:2</v>
      </c>
      <c r="H4" s="102" t="str">
        <f ca="1">INDIRECT(ADDRESS(26,7))&amp;":"&amp;INDIRECT(ADDRESS(26,6))</f>
        <v>13:6</v>
      </c>
      <c r="I4" s="102" t="str">
        <f ca="1">INDIRECT(ADDRESS(30,6))&amp;":"&amp;INDIRECT(ADDRESS(30,7))</f>
        <v>8:13</v>
      </c>
      <c r="J4" s="103" t="str">
        <f ca="1">INDIRECT(ADDRESS(35,7))&amp;":"&amp;INDIRECT(ADDRESS(35,6))</f>
        <v>13:3</v>
      </c>
      <c r="K4" s="170">
        <f ca="1">IF(COUNT(F5:J5)=0,"",COUNTIF(F5:J5,"&gt;0")+0.5*COUNTIF(F5:J5,0))</f>
        <v>3</v>
      </c>
      <c r="L4" s="104"/>
      <c r="M4" s="171">
        <v>1</v>
      </c>
    </row>
    <row r="5" spans="2:16" ht="24" customHeight="1">
      <c r="B5" s="136"/>
      <c r="C5" s="140"/>
      <c r="D5" s="141"/>
      <c r="E5" s="142"/>
      <c r="F5" s="105" t="s">
        <v>7</v>
      </c>
      <c r="G5" s="106">
        <f ca="1">IF(LEN(INDIRECT(ADDRESS(ROW()-1, COLUMN())))=1,"",INDIRECT(ADDRESS(23,6))-INDIRECT(ADDRESS(23,7)))</f>
        <v>11</v>
      </c>
      <c r="H5" s="106">
        <f ca="1">IF(LEN(INDIRECT(ADDRESS(ROW()-1, COLUMN())))=1,"",INDIRECT(ADDRESS(26,7))-INDIRECT(ADDRESS(26,6)))</f>
        <v>7</v>
      </c>
      <c r="I5" s="106">
        <f ca="1">IF(LEN(INDIRECT(ADDRESS(ROW()-1, COLUMN())))=1,"",INDIRECT(ADDRESS(30,6))-INDIRECT(ADDRESS(30,7)))</f>
        <v>-5</v>
      </c>
      <c r="J5" s="107">
        <f ca="1">IF(LEN(INDIRECT(ADDRESS(ROW()-1, COLUMN())))=1,"",INDIRECT(ADDRESS(35,7))-INDIRECT(ADDRESS(35,6)))</f>
        <v>10</v>
      </c>
      <c r="K5" s="144"/>
      <c r="L5" s="106">
        <f ca="1">IF(COUNT(F5:J5)=0,"",SUM(F5:J5))</f>
        <v>23</v>
      </c>
      <c r="M5" s="169"/>
    </row>
    <row r="6" spans="2:16" ht="24" customHeight="1">
      <c r="B6" s="145">
        <v>2</v>
      </c>
      <c r="C6" s="140" t="s">
        <v>47</v>
      </c>
      <c r="D6" s="141"/>
      <c r="E6" s="142"/>
      <c r="F6" s="108" t="str">
        <f ca="1">INDIRECT(ADDRESS(23,7))&amp;":"&amp;INDIRECT(ADDRESS(23,6))</f>
        <v>2:13</v>
      </c>
      <c r="G6" s="109" t="s">
        <v>7</v>
      </c>
      <c r="H6" s="110" t="str">
        <f ca="1">INDIRECT(ADDRESS(31,6))&amp;":"&amp;INDIRECT(ADDRESS(31,7))</f>
        <v>2:13</v>
      </c>
      <c r="I6" s="110" t="str">
        <f ca="1">INDIRECT(ADDRESS(34,7))&amp;":"&amp;INDIRECT(ADDRESS(34,6))</f>
        <v>1:13</v>
      </c>
      <c r="J6" s="111" t="str">
        <f ca="1">INDIRECT(ADDRESS(18,6))&amp;":"&amp;INDIRECT(ADDRESS(18,7))</f>
        <v>13:1</v>
      </c>
      <c r="K6" s="144">
        <f ca="1">IF(COUNT(F7:J7)=0,"",COUNTIF(F7:J7,"&gt;0")+0.5*COUNTIF(F7:J7,0))</f>
        <v>1</v>
      </c>
      <c r="L6" s="106"/>
      <c r="M6" s="169">
        <v>4</v>
      </c>
    </row>
    <row r="7" spans="2:16" ht="24" customHeight="1">
      <c r="B7" s="136"/>
      <c r="C7" s="140"/>
      <c r="D7" s="141"/>
      <c r="E7" s="142"/>
      <c r="F7" s="112">
        <f ca="1">IF(LEN(INDIRECT(ADDRESS(ROW()-1, COLUMN())))=1,"",INDIRECT(ADDRESS(23,7))-INDIRECT(ADDRESS(23,6)))</f>
        <v>-11</v>
      </c>
      <c r="G7" s="113" t="s">
        <v>7</v>
      </c>
      <c r="H7" s="106">
        <f ca="1">IF(LEN(INDIRECT(ADDRESS(ROW()-1, COLUMN())))=1,"",INDIRECT(ADDRESS(31,6))-INDIRECT(ADDRESS(31,7)))</f>
        <v>-11</v>
      </c>
      <c r="I7" s="106">
        <f ca="1">IF(LEN(INDIRECT(ADDRESS(ROW()-1, COLUMN())))=1,"",INDIRECT(ADDRESS(34,7))-INDIRECT(ADDRESS(34,6)))</f>
        <v>-12</v>
      </c>
      <c r="J7" s="107">
        <f ca="1">IF(LEN(INDIRECT(ADDRESS(ROW()-1, COLUMN())))=1,"",INDIRECT(ADDRESS(18,6))-INDIRECT(ADDRESS(18,7)))</f>
        <v>12</v>
      </c>
      <c r="K7" s="144"/>
      <c r="L7" s="106">
        <f ca="1">IF(COUNT(F7:J7)=0,"",SUM(F7:J7))</f>
        <v>-22</v>
      </c>
      <c r="M7" s="169"/>
    </row>
    <row r="8" spans="2:16" ht="24" customHeight="1">
      <c r="B8" s="145">
        <v>3</v>
      </c>
      <c r="C8" s="140" t="s">
        <v>48</v>
      </c>
      <c r="D8" s="141"/>
      <c r="E8" s="142"/>
      <c r="F8" s="108" t="str">
        <f ca="1">INDIRECT(ADDRESS(26,6))&amp;":"&amp;INDIRECT(ADDRESS(26,7))</f>
        <v>6:13</v>
      </c>
      <c r="G8" s="110" t="str">
        <f ca="1">INDIRECT(ADDRESS(31,7))&amp;":"&amp;INDIRECT(ADDRESS(31,6))</f>
        <v>13:2</v>
      </c>
      <c r="H8" s="109" t="s">
        <v>7</v>
      </c>
      <c r="I8" s="110" t="str">
        <f ca="1">INDIRECT(ADDRESS(19,6))&amp;":"&amp;INDIRECT(ADDRESS(19,7))</f>
        <v>13:7</v>
      </c>
      <c r="J8" s="111" t="str">
        <f ca="1">INDIRECT(ADDRESS(22,7))&amp;":"&amp;INDIRECT(ADDRESS(22,6))</f>
        <v>13:2</v>
      </c>
      <c r="K8" s="144">
        <f ca="1">IF(COUNT(F9:J9)=0,"",COUNTIF(F9:J9,"&gt;0")+0.5*COUNTIF(F9:J9,0))</f>
        <v>3</v>
      </c>
      <c r="L8" s="106"/>
      <c r="M8" s="169">
        <v>2</v>
      </c>
    </row>
    <row r="9" spans="2:16" ht="24" customHeight="1">
      <c r="B9" s="136"/>
      <c r="C9" s="140"/>
      <c r="D9" s="141"/>
      <c r="E9" s="142"/>
      <c r="F9" s="112">
        <f ca="1">IF(LEN(INDIRECT(ADDRESS(ROW()-1, COLUMN())))=1,"",INDIRECT(ADDRESS(26,6))-INDIRECT(ADDRESS(26,7)))</f>
        <v>-7</v>
      </c>
      <c r="G9" s="106">
        <f ca="1">IF(LEN(INDIRECT(ADDRESS(ROW()-1, COLUMN())))=1,"",INDIRECT(ADDRESS(31,7))-INDIRECT(ADDRESS(31,6)))</f>
        <v>11</v>
      </c>
      <c r="H9" s="113" t="s">
        <v>7</v>
      </c>
      <c r="I9" s="106">
        <f ca="1">IF(LEN(INDIRECT(ADDRESS(ROW()-1, COLUMN())))=1,"",INDIRECT(ADDRESS(19,6))-INDIRECT(ADDRESS(19,7)))</f>
        <v>6</v>
      </c>
      <c r="J9" s="107">
        <f ca="1">IF(LEN(INDIRECT(ADDRESS(ROW()-1, COLUMN())))=1,"",INDIRECT(ADDRESS(22,7))-INDIRECT(ADDRESS(22,6)))</f>
        <v>11</v>
      </c>
      <c r="K9" s="144"/>
      <c r="L9" s="106">
        <f ca="1">IF(COUNT(F9:J9)=0,"",SUM(F9:J9))</f>
        <v>21</v>
      </c>
      <c r="M9" s="169"/>
    </row>
    <row r="10" spans="2:16" ht="24" customHeight="1">
      <c r="B10" s="145">
        <v>4</v>
      </c>
      <c r="C10" s="140" t="s">
        <v>29</v>
      </c>
      <c r="D10" s="141"/>
      <c r="E10" s="142"/>
      <c r="F10" s="108" t="str">
        <f ca="1">INDIRECT(ADDRESS(30,7))&amp;":"&amp;INDIRECT(ADDRESS(30,6))</f>
        <v>13:8</v>
      </c>
      <c r="G10" s="110" t="str">
        <f ca="1">INDIRECT(ADDRESS(34,6))&amp;":"&amp;INDIRECT(ADDRESS(34,7))</f>
        <v>13:1</v>
      </c>
      <c r="H10" s="110" t="str">
        <f ca="1">INDIRECT(ADDRESS(19,7))&amp;":"&amp;INDIRECT(ADDRESS(19,6))</f>
        <v>7:13</v>
      </c>
      <c r="I10" s="109" t="s">
        <v>7</v>
      </c>
      <c r="J10" s="111" t="str">
        <f ca="1">INDIRECT(ADDRESS(27,6))&amp;":"&amp;INDIRECT(ADDRESS(27,7))</f>
        <v>13:3</v>
      </c>
      <c r="K10" s="144">
        <f ca="1">IF(COUNT(F11:J11)=0,"",COUNTIF(F11:J11,"&gt;0")+0.5*COUNTIF(F11:J11,0))</f>
        <v>3</v>
      </c>
      <c r="L10" s="106"/>
      <c r="M10" s="169">
        <v>3</v>
      </c>
    </row>
    <row r="11" spans="2:16" ht="24" customHeight="1">
      <c r="B11" s="136"/>
      <c r="C11" s="140"/>
      <c r="D11" s="141"/>
      <c r="E11" s="142"/>
      <c r="F11" s="112">
        <f ca="1">IF(LEN(INDIRECT(ADDRESS(ROW()-1, COLUMN())))=1,"",INDIRECT(ADDRESS(30,7))-INDIRECT(ADDRESS(30,6)))</f>
        <v>5</v>
      </c>
      <c r="G11" s="106">
        <f ca="1">IF(LEN(INDIRECT(ADDRESS(ROW()-1, COLUMN())))=1,"",INDIRECT(ADDRESS(34,6))-INDIRECT(ADDRESS(34,7)))</f>
        <v>12</v>
      </c>
      <c r="H11" s="106">
        <f ca="1">IF(LEN(INDIRECT(ADDRESS(ROW()-1, COLUMN())))=1,"",INDIRECT(ADDRESS(19,7))-INDIRECT(ADDRESS(19,6)))</f>
        <v>-6</v>
      </c>
      <c r="I11" s="113" t="s">
        <v>7</v>
      </c>
      <c r="J11" s="107">
        <f ca="1">IF(LEN(INDIRECT(ADDRESS(ROW()-1, COLUMN())))=1,"",INDIRECT(ADDRESS(27,6))-INDIRECT(ADDRESS(27,7)))</f>
        <v>10</v>
      </c>
      <c r="K11" s="144"/>
      <c r="L11" s="106">
        <f ca="1">IF(COUNT(F11:J11)=0,"",SUM(F11:J11))</f>
        <v>21</v>
      </c>
      <c r="M11" s="169"/>
    </row>
    <row r="12" spans="2:16" ht="24" customHeight="1">
      <c r="B12" s="145">
        <v>5</v>
      </c>
      <c r="C12" s="140" t="s">
        <v>49</v>
      </c>
      <c r="D12" s="141"/>
      <c r="E12" s="142"/>
      <c r="F12" s="108" t="str">
        <f ca="1">INDIRECT(ADDRESS(35,6))&amp;":"&amp;INDIRECT(ADDRESS(35,7))</f>
        <v>3:13</v>
      </c>
      <c r="G12" s="110" t="str">
        <f ca="1">INDIRECT(ADDRESS(18,7))&amp;":"&amp;INDIRECT(ADDRESS(18,6))</f>
        <v>1:13</v>
      </c>
      <c r="H12" s="110" t="str">
        <f ca="1">INDIRECT(ADDRESS(22,6))&amp;":"&amp;INDIRECT(ADDRESS(22,7))</f>
        <v>2:13</v>
      </c>
      <c r="I12" s="110" t="str">
        <f ca="1">INDIRECT(ADDRESS(27,7))&amp;":"&amp;INDIRECT(ADDRESS(27,6))</f>
        <v>3:13</v>
      </c>
      <c r="J12" s="114" t="s">
        <v>7</v>
      </c>
      <c r="K12" s="144">
        <f ca="1">IF(COUNT(F13:J13)=0,"",COUNTIF(F13:J13,"&gt;0")+0.5*COUNTIF(F13:J13,0))</f>
        <v>0</v>
      </c>
      <c r="L12" s="106"/>
      <c r="M12" s="169">
        <v>5</v>
      </c>
    </row>
    <row r="13" spans="2:16" ht="24" customHeight="1" thickBot="1">
      <c r="B13" s="160"/>
      <c r="C13" s="161"/>
      <c r="D13" s="162"/>
      <c r="E13" s="163"/>
      <c r="F13" s="115">
        <f ca="1">IF(LEN(INDIRECT(ADDRESS(ROW()-1, COLUMN())))=1,"",INDIRECT(ADDRESS(35,6))-INDIRECT(ADDRESS(35,7)))</f>
        <v>-10</v>
      </c>
      <c r="G13" s="116">
        <f ca="1">IF(LEN(INDIRECT(ADDRESS(ROW()-1, COLUMN())))=1,"",INDIRECT(ADDRESS(18,7))-INDIRECT(ADDRESS(18,6)))</f>
        <v>-12</v>
      </c>
      <c r="H13" s="116">
        <f ca="1">IF(LEN(INDIRECT(ADDRESS(ROW()-1, COLUMN())))=1,"",INDIRECT(ADDRESS(22,6))-INDIRECT(ADDRESS(22,7)))</f>
        <v>-11</v>
      </c>
      <c r="I13" s="116">
        <f ca="1">IF(LEN(INDIRECT(ADDRESS(ROW()-1, COLUMN())))=1,"",INDIRECT(ADDRESS(27,7))-INDIRECT(ADDRESS(27,6)))</f>
        <v>-10</v>
      </c>
      <c r="J13" s="117" t="s">
        <v>7</v>
      </c>
      <c r="K13" s="164"/>
      <c r="L13" s="116">
        <f ca="1">IF(COUNT(F13:J13)=0,"",SUM(F13:J13))</f>
        <v>-43</v>
      </c>
      <c r="M13" s="175"/>
    </row>
    <row r="14" spans="2:16">
      <c r="M14"/>
    </row>
    <row r="15" spans="2:16">
      <c r="M15"/>
    </row>
    <row r="16" spans="2:16">
      <c r="M16"/>
    </row>
    <row r="17" spans="1:13" s="119" customFormat="1" ht="30" customHeight="1" thickBot="1">
      <c r="A17" s="118"/>
      <c r="B17" s="158" t="s">
        <v>4</v>
      </c>
      <c r="C17" s="158"/>
      <c r="D17" s="158"/>
      <c r="E17" s="158"/>
      <c r="F17" s="158"/>
      <c r="G17" s="158"/>
      <c r="H17" s="158"/>
      <c r="I17" s="158"/>
      <c r="J17" s="158"/>
      <c r="K17" s="158"/>
      <c r="M17" s="120"/>
    </row>
    <row r="18" spans="1:13" s="119" customFormat="1" ht="30" customHeight="1" thickBot="1">
      <c r="A18" s="118"/>
      <c r="B18" s="121">
        <v>2</v>
      </c>
      <c r="C18" s="173" t="str">
        <f ca="1">IF(ISBLANK(INDIRECT(ADDRESS(B18*2+2,3))),"",INDIRECT(ADDRESS(B18*2+2,3)))</f>
        <v>Никонец Ирина</v>
      </c>
      <c r="D18" s="173"/>
      <c r="E18" s="174"/>
      <c r="F18" s="122">
        <v>13</v>
      </c>
      <c r="G18" s="123">
        <v>1</v>
      </c>
      <c r="H18" s="172" t="str">
        <f ca="1">IF(ISBLANK(INDIRECT(ADDRESS(K18*2+2,3))),"",INDIRECT(ADDRESS(K18*2+2,3)))</f>
        <v>Завалина Светлана</v>
      </c>
      <c r="I18" s="173"/>
      <c r="J18" s="173"/>
      <c r="K18" s="121">
        <v>5</v>
      </c>
      <c r="L18" s="124" t="s">
        <v>11</v>
      </c>
      <c r="M18" s="125"/>
    </row>
    <row r="19" spans="1:13" s="119" customFormat="1" ht="30" customHeight="1" thickBot="1">
      <c r="A19" s="118"/>
      <c r="B19" s="121">
        <v>3</v>
      </c>
      <c r="C19" s="173" t="str">
        <f ca="1">IF(ISBLANK(INDIRECT(ADDRESS(B19*2+2,3))),"",INDIRECT(ADDRESS(B19*2+2,3)))</f>
        <v>Мандельштам Нонна</v>
      </c>
      <c r="D19" s="173"/>
      <c r="E19" s="174"/>
      <c r="F19" s="122">
        <v>13</v>
      </c>
      <c r="G19" s="123">
        <v>7</v>
      </c>
      <c r="H19" s="172" t="str">
        <f ca="1">IF(ISBLANK(INDIRECT(ADDRESS(K19*2+2,3))),"",INDIRECT(ADDRESS(K19*2+2,3)))</f>
        <v>Потапова Людмила</v>
      </c>
      <c r="I19" s="173"/>
      <c r="J19" s="173"/>
      <c r="K19" s="121">
        <v>4</v>
      </c>
      <c r="L19" s="124" t="s">
        <v>11</v>
      </c>
      <c r="M19" s="125"/>
    </row>
    <row r="20" spans="1:13" s="119" customFormat="1" ht="30" customHeight="1">
      <c r="A20" s="118"/>
      <c r="M20" s="126"/>
    </row>
    <row r="21" spans="1:13" s="119" customFormat="1" ht="30" customHeight="1" thickBot="1">
      <c r="A21" s="118"/>
      <c r="B21" s="158" t="s">
        <v>5</v>
      </c>
      <c r="C21" s="158"/>
      <c r="D21" s="158"/>
      <c r="E21" s="158"/>
      <c r="F21" s="158"/>
      <c r="G21" s="158"/>
      <c r="H21" s="158"/>
      <c r="I21" s="158"/>
      <c r="J21" s="158"/>
      <c r="K21" s="158"/>
      <c r="M21" s="126"/>
    </row>
    <row r="22" spans="1:13" s="119" customFormat="1" ht="30" customHeight="1" thickBot="1">
      <c r="A22" s="118"/>
      <c r="B22" s="121">
        <v>5</v>
      </c>
      <c r="C22" s="173" t="str">
        <f ca="1">IF(ISBLANK(INDIRECT(ADDRESS(B22*2+2,3))),"",INDIRECT(ADDRESS(B22*2+2,3)))</f>
        <v>Завалина Светлана</v>
      </c>
      <c r="D22" s="173"/>
      <c r="E22" s="174"/>
      <c r="F22" s="122">
        <v>2</v>
      </c>
      <c r="G22" s="123">
        <v>13</v>
      </c>
      <c r="H22" s="172" t="str">
        <f ca="1">IF(ISBLANK(INDIRECT(ADDRESS(K22*2+2,3))),"",INDIRECT(ADDRESS(K22*2+2,3)))</f>
        <v>Мандельштам Нонна</v>
      </c>
      <c r="I22" s="173"/>
      <c r="J22" s="173"/>
      <c r="K22" s="121">
        <v>3</v>
      </c>
      <c r="L22" s="124" t="s">
        <v>11</v>
      </c>
      <c r="M22" s="125"/>
    </row>
    <row r="23" spans="1:13" s="119" customFormat="1" ht="30" customHeight="1" thickBot="1">
      <c r="A23" s="118"/>
      <c r="B23" s="121">
        <v>1</v>
      </c>
      <c r="C23" s="173" t="str">
        <f ca="1">IF(ISBLANK(INDIRECT(ADDRESS(B23*2+2,3))),"",INDIRECT(ADDRESS(B23*2+2,3)))</f>
        <v>Лукина Лариса</v>
      </c>
      <c r="D23" s="173"/>
      <c r="E23" s="174"/>
      <c r="F23" s="122">
        <v>13</v>
      </c>
      <c r="G23" s="123">
        <v>2</v>
      </c>
      <c r="H23" s="172" t="str">
        <f ca="1">IF(ISBLANK(INDIRECT(ADDRESS(K23*2+2,3))),"",INDIRECT(ADDRESS(K23*2+2,3)))</f>
        <v>Никонец Ирина</v>
      </c>
      <c r="I23" s="173"/>
      <c r="J23" s="173"/>
      <c r="K23" s="121">
        <v>2</v>
      </c>
      <c r="L23" s="124" t="s">
        <v>11</v>
      </c>
      <c r="M23" s="125"/>
    </row>
    <row r="24" spans="1:13" s="119" customFormat="1" ht="30" customHeight="1">
      <c r="A24" s="118"/>
      <c r="M24" s="126"/>
    </row>
    <row r="25" spans="1:13" s="119" customFormat="1" ht="30" customHeight="1" thickBot="1">
      <c r="A25" s="118"/>
      <c r="B25" s="158" t="s">
        <v>6</v>
      </c>
      <c r="C25" s="158"/>
      <c r="D25" s="158"/>
      <c r="E25" s="158"/>
      <c r="F25" s="158"/>
      <c r="G25" s="158"/>
      <c r="H25" s="158"/>
      <c r="I25" s="158"/>
      <c r="J25" s="158"/>
      <c r="K25" s="158"/>
      <c r="M25" s="126"/>
    </row>
    <row r="26" spans="1:13" s="119" customFormat="1" ht="30" customHeight="1" thickBot="1">
      <c r="A26" s="118"/>
      <c r="B26" s="121">
        <v>3</v>
      </c>
      <c r="C26" s="173" t="str">
        <f ca="1">IF(ISBLANK(INDIRECT(ADDRESS(B26*2+2,3))),"",INDIRECT(ADDRESS(B26*2+2,3)))</f>
        <v>Мандельштам Нонна</v>
      </c>
      <c r="D26" s="173"/>
      <c r="E26" s="174"/>
      <c r="F26" s="122">
        <v>6</v>
      </c>
      <c r="G26" s="123">
        <v>13</v>
      </c>
      <c r="H26" s="172" t="str">
        <f ca="1">IF(ISBLANK(INDIRECT(ADDRESS(K26*2+2,3))),"",INDIRECT(ADDRESS(K26*2+2,3)))</f>
        <v>Лукина Лариса</v>
      </c>
      <c r="I26" s="173"/>
      <c r="J26" s="173"/>
      <c r="K26" s="121">
        <v>1</v>
      </c>
      <c r="L26" s="124" t="s">
        <v>11</v>
      </c>
      <c r="M26" s="125"/>
    </row>
    <row r="27" spans="1:13" s="119" customFormat="1" ht="30" customHeight="1" thickBot="1">
      <c r="A27" s="118"/>
      <c r="B27" s="121">
        <v>4</v>
      </c>
      <c r="C27" s="173" t="str">
        <f ca="1">IF(ISBLANK(INDIRECT(ADDRESS(B27*2+2,3))),"",INDIRECT(ADDRESS(B27*2+2,3)))</f>
        <v>Потапова Людмила</v>
      </c>
      <c r="D27" s="173"/>
      <c r="E27" s="174"/>
      <c r="F27" s="122">
        <v>13</v>
      </c>
      <c r="G27" s="123">
        <v>3</v>
      </c>
      <c r="H27" s="172" t="str">
        <f ca="1">IF(ISBLANK(INDIRECT(ADDRESS(K27*2+2,3))),"",INDIRECT(ADDRESS(K27*2+2,3)))</f>
        <v>Завалина Светлана</v>
      </c>
      <c r="I27" s="173"/>
      <c r="J27" s="173"/>
      <c r="K27" s="121">
        <v>5</v>
      </c>
      <c r="L27" s="124" t="s">
        <v>11</v>
      </c>
      <c r="M27" s="125"/>
    </row>
    <row r="28" spans="1:13" s="119" customFormat="1" ht="30" customHeight="1">
      <c r="A28" s="118"/>
      <c r="M28" s="126"/>
    </row>
    <row r="29" spans="1:13" s="119" customFormat="1" ht="30" customHeight="1" thickBot="1">
      <c r="A29" s="118"/>
      <c r="B29" s="158" t="s">
        <v>8</v>
      </c>
      <c r="C29" s="158"/>
      <c r="D29" s="158"/>
      <c r="E29" s="158"/>
      <c r="F29" s="158"/>
      <c r="G29" s="158"/>
      <c r="H29" s="158"/>
      <c r="I29" s="158"/>
      <c r="J29" s="158"/>
      <c r="K29" s="158"/>
      <c r="M29" s="126"/>
    </row>
    <row r="30" spans="1:13" s="119" customFormat="1" ht="30" customHeight="1" thickBot="1">
      <c r="A30" s="118"/>
      <c r="B30" s="121">
        <v>1</v>
      </c>
      <c r="C30" s="173" t="str">
        <f ca="1">IF(ISBLANK(INDIRECT(ADDRESS(B30*2+2,3))),"",INDIRECT(ADDRESS(B30*2+2,3)))</f>
        <v>Лукина Лариса</v>
      </c>
      <c r="D30" s="173"/>
      <c r="E30" s="174"/>
      <c r="F30" s="122">
        <v>8</v>
      </c>
      <c r="G30" s="123">
        <v>13</v>
      </c>
      <c r="H30" s="172" t="str">
        <f ca="1">IF(ISBLANK(INDIRECT(ADDRESS(K30*2+2,3))),"",INDIRECT(ADDRESS(K30*2+2,3)))</f>
        <v>Потапова Людмила</v>
      </c>
      <c r="I30" s="173"/>
      <c r="J30" s="173"/>
      <c r="K30" s="121">
        <v>4</v>
      </c>
      <c r="L30" s="124" t="s">
        <v>11</v>
      </c>
      <c r="M30" s="125"/>
    </row>
    <row r="31" spans="1:13" s="119" customFormat="1" ht="30" customHeight="1" thickBot="1">
      <c r="A31" s="118"/>
      <c r="B31" s="121">
        <v>2</v>
      </c>
      <c r="C31" s="173" t="str">
        <f ca="1">IF(ISBLANK(INDIRECT(ADDRESS(B31*2+2,3))),"",INDIRECT(ADDRESS(B31*2+2,3)))</f>
        <v>Никонец Ирина</v>
      </c>
      <c r="D31" s="173"/>
      <c r="E31" s="174"/>
      <c r="F31" s="122">
        <v>2</v>
      </c>
      <c r="G31" s="123">
        <v>13</v>
      </c>
      <c r="H31" s="172" t="str">
        <f ca="1">IF(ISBLANK(INDIRECT(ADDRESS(K31*2+2,3))),"",INDIRECT(ADDRESS(K31*2+2,3)))</f>
        <v>Мандельштам Нонна</v>
      </c>
      <c r="I31" s="173"/>
      <c r="J31" s="173"/>
      <c r="K31" s="121">
        <v>3</v>
      </c>
      <c r="L31" s="124" t="s">
        <v>11</v>
      </c>
      <c r="M31" s="125"/>
    </row>
    <row r="32" spans="1:13" s="119" customFormat="1" ht="30" customHeight="1">
      <c r="A32" s="118"/>
      <c r="M32" s="126"/>
    </row>
    <row r="33" spans="1:13" s="119" customFormat="1" ht="30" customHeight="1" thickBot="1">
      <c r="A33" s="118"/>
      <c r="B33" s="158" t="s">
        <v>9</v>
      </c>
      <c r="C33" s="158"/>
      <c r="D33" s="158"/>
      <c r="E33" s="158"/>
      <c r="F33" s="158"/>
      <c r="G33" s="158"/>
      <c r="H33" s="158"/>
      <c r="I33" s="158"/>
      <c r="J33" s="158"/>
      <c r="K33" s="158"/>
      <c r="M33" s="126"/>
    </row>
    <row r="34" spans="1:13" s="119" customFormat="1" ht="30" customHeight="1" thickBot="1">
      <c r="A34" s="118"/>
      <c r="B34" s="121">
        <v>4</v>
      </c>
      <c r="C34" s="173" t="str">
        <f ca="1">IF(ISBLANK(INDIRECT(ADDRESS(B34*2+2,3))),"",INDIRECT(ADDRESS(B34*2+2,3)))</f>
        <v>Потапова Людмила</v>
      </c>
      <c r="D34" s="173"/>
      <c r="E34" s="174"/>
      <c r="F34" s="122">
        <v>13</v>
      </c>
      <c r="G34" s="123">
        <v>1</v>
      </c>
      <c r="H34" s="172" t="str">
        <f ca="1">IF(ISBLANK(INDIRECT(ADDRESS(K34*2+2,3))),"",INDIRECT(ADDRESS(K34*2+2,3)))</f>
        <v>Никонец Ирина</v>
      </c>
      <c r="I34" s="173"/>
      <c r="J34" s="173"/>
      <c r="K34" s="121">
        <v>2</v>
      </c>
      <c r="L34" s="124" t="s">
        <v>11</v>
      </c>
      <c r="M34" s="125"/>
    </row>
    <row r="35" spans="1:13" s="119" customFormat="1" ht="30" customHeight="1" thickBot="1">
      <c r="A35" s="118"/>
      <c r="B35" s="121">
        <v>5</v>
      </c>
      <c r="C35" s="173" t="str">
        <f ca="1">IF(ISBLANK(INDIRECT(ADDRESS(B35*2+2,3))),"",INDIRECT(ADDRESS(B35*2+2,3)))</f>
        <v>Завалина Светлана</v>
      </c>
      <c r="D35" s="173"/>
      <c r="E35" s="174"/>
      <c r="F35" s="122">
        <v>3</v>
      </c>
      <c r="G35" s="123">
        <v>13</v>
      </c>
      <c r="H35" s="172" t="str">
        <f ca="1">IF(ISBLANK(INDIRECT(ADDRESS(K35*2+2,3))),"",INDIRECT(ADDRESS(K35*2+2,3)))</f>
        <v>Лукина Лариса</v>
      </c>
      <c r="I35" s="173"/>
      <c r="J35" s="173"/>
      <c r="K35" s="121">
        <v>1</v>
      </c>
      <c r="L35" s="124" t="s">
        <v>11</v>
      </c>
      <c r="M35" s="125"/>
    </row>
    <row r="38" spans="1:13" ht="21">
      <c r="B38" s="44" t="s">
        <v>16</v>
      </c>
      <c r="C38" s="44"/>
      <c r="D38" s="44"/>
    </row>
    <row r="39" spans="1:13" ht="21">
      <c r="B39" s="44"/>
      <c r="C39" s="44"/>
      <c r="D39" s="44"/>
    </row>
    <row r="40" spans="1:13" ht="21">
      <c r="B40" s="44"/>
      <c r="C40" s="44"/>
      <c r="D40" s="44"/>
    </row>
    <row r="41" spans="1:13" ht="21">
      <c r="B41" s="44" t="s">
        <v>25</v>
      </c>
      <c r="C41" s="44"/>
      <c r="D41" s="44"/>
    </row>
  </sheetData>
  <sheetCalcPr fullCalcOnLoad="1"/>
  <mergeCells count="47">
    <mergeCell ref="H34:J34"/>
    <mergeCell ref="C27:E27"/>
    <mergeCell ref="H27:J27"/>
    <mergeCell ref="C35:E35"/>
    <mergeCell ref="H35:J35"/>
    <mergeCell ref="C30:E30"/>
    <mergeCell ref="H30:J30"/>
    <mergeCell ref="C31:E31"/>
    <mergeCell ref="H31:J31"/>
    <mergeCell ref="B33:K33"/>
    <mergeCell ref="C34:E34"/>
    <mergeCell ref="H22:J22"/>
    <mergeCell ref="C23:E23"/>
    <mergeCell ref="H23:J23"/>
    <mergeCell ref="B25:K25"/>
    <mergeCell ref="C26:E26"/>
    <mergeCell ref="H26:J26"/>
    <mergeCell ref="C12:E13"/>
    <mergeCell ref="K12:K13"/>
    <mergeCell ref="C18:E18"/>
    <mergeCell ref="M12:M13"/>
    <mergeCell ref="B17:K17"/>
    <mergeCell ref="B29:K29"/>
    <mergeCell ref="C19:E19"/>
    <mergeCell ref="H19:J19"/>
    <mergeCell ref="B21:K21"/>
    <mergeCell ref="C22:E22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B6:B7"/>
    <mergeCell ref="C6:E7"/>
    <mergeCell ref="K6:K7"/>
    <mergeCell ref="B1:M1"/>
    <mergeCell ref="M6:M7"/>
    <mergeCell ref="C3:E3"/>
    <mergeCell ref="B4:B5"/>
    <mergeCell ref="C4:E5"/>
    <mergeCell ref="K4:K5"/>
    <mergeCell ref="M4:M5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workbookViewId="0">
      <selection activeCell="N17" sqref="N17"/>
    </sheetView>
  </sheetViews>
  <sheetFormatPr defaultRowHeight="15"/>
  <cols>
    <col min="1" max="1" width="4" style="35" customWidth="1"/>
    <col min="2" max="12" width="10.28515625" customWidth="1"/>
    <col min="13" max="13" width="10.28515625" style="32" customWidth="1"/>
    <col min="14" max="15" width="10.28515625" customWidth="1"/>
  </cols>
  <sheetData>
    <row r="1" spans="2:18" ht="38.25" customHeight="1">
      <c r="B1" s="168" t="s">
        <v>54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66"/>
      <c r="P1" s="66"/>
      <c r="Q1" s="66"/>
      <c r="R1" s="66"/>
    </row>
    <row r="2" spans="2:18" ht="15.75" thickBot="1">
      <c r="M2"/>
    </row>
    <row r="3" spans="2:18" ht="30" customHeight="1" thickBot="1">
      <c r="B3" s="23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8" ht="24" customHeight="1">
      <c r="B4" s="135">
        <v>1</v>
      </c>
      <c r="C4" s="137" t="s">
        <v>15</v>
      </c>
      <c r="D4" s="138"/>
      <c r="E4" s="139"/>
      <c r="F4" s="10" t="s">
        <v>7</v>
      </c>
      <c r="G4" s="6" t="str">
        <f ca="1">INDIRECT(ADDRESS(27,6))&amp;":"&amp;INDIRECT(ADDRESS(27,7))</f>
        <v>13:6</v>
      </c>
      <c r="H4" s="6" t="str">
        <f ca="1">INDIRECT(ADDRESS(31,7))&amp;":"&amp;INDIRECT(ADDRESS(31,6))</f>
        <v>13:10</v>
      </c>
      <c r="I4" s="6" t="str">
        <f ca="1">INDIRECT(ADDRESS(36,6))&amp;":"&amp;INDIRECT(ADDRESS(36,7))</f>
        <v>13:4</v>
      </c>
      <c r="J4" s="6" t="str">
        <f ca="1">INDIRECT(ADDRESS(42,7))&amp;":"&amp;INDIRECT(ADDRESS(42,6))</f>
        <v>10:9</v>
      </c>
      <c r="K4" s="21" t="str">
        <f ca="1">INDIRECT(ADDRESS(20,6))&amp;":"&amp;INDIRECT(ADDRESS(20,7))</f>
        <v>13:5</v>
      </c>
      <c r="L4" s="178">
        <f ca="1">IF(COUNT(F5:K5)=0,"",COUNTIF(F5:K5,"&gt;0")+0.5*COUNTIF(F5:K5,0))</f>
        <v>5</v>
      </c>
      <c r="M4" s="65"/>
      <c r="N4" s="130">
        <v>1</v>
      </c>
    </row>
    <row r="5" spans="2:18" ht="24" customHeight="1">
      <c r="B5" s="136"/>
      <c r="C5" s="140"/>
      <c r="D5" s="141"/>
      <c r="E5" s="142"/>
      <c r="F5" s="14" t="s">
        <v>7</v>
      </c>
      <c r="G5" s="17">
        <f ca="1">IF(LEN(INDIRECT(ADDRESS(ROW()-1, COLUMN())))=1,"",INDIRECT(ADDRESS(27,6))-INDIRECT(ADDRESS(27,7)))</f>
        <v>7</v>
      </c>
      <c r="H5" s="17">
        <f ca="1">IF(LEN(INDIRECT(ADDRESS(ROW()-1, COLUMN())))=1,"",INDIRECT(ADDRESS(31,7))-INDIRECT(ADDRESS(31,6)))</f>
        <v>3</v>
      </c>
      <c r="I5" s="17">
        <f ca="1">IF(LEN(INDIRECT(ADDRESS(ROW()-1, COLUMN())))=1,"",INDIRECT(ADDRESS(36,6))-INDIRECT(ADDRESS(36,7)))</f>
        <v>9</v>
      </c>
      <c r="J5" s="17">
        <f ca="1">IF(LEN(INDIRECT(ADDRESS(ROW()-1, COLUMN())))=1,"",INDIRECT(ADDRESS(42,7))-INDIRECT(ADDRESS(42,6)))</f>
        <v>1</v>
      </c>
      <c r="K5" s="18">
        <f ca="1">IF(LEN(INDIRECT(ADDRESS(ROW()-1, COLUMN())))=1,"",INDIRECT(ADDRESS(20,6))-INDIRECT(ADDRESS(20,7)))</f>
        <v>8</v>
      </c>
      <c r="L5" s="176"/>
      <c r="M5" s="17">
        <f ca="1">IF(COUNT(F5:K5)=0,"",SUM(F5:K5))</f>
        <v>28</v>
      </c>
      <c r="N5" s="131"/>
    </row>
    <row r="6" spans="2:18" ht="24" customHeight="1">
      <c r="B6" s="145">
        <v>2</v>
      </c>
      <c r="C6" s="140" t="s">
        <v>50</v>
      </c>
      <c r="D6" s="141"/>
      <c r="E6" s="142"/>
      <c r="F6" s="12" t="str">
        <f ca="1">INDIRECT(ADDRESS(27,7))&amp;":"&amp;INDIRECT(ADDRESS(27,6))</f>
        <v>6:13</v>
      </c>
      <c r="G6" s="8" t="s">
        <v>7</v>
      </c>
      <c r="H6" s="7" t="str">
        <f ca="1">INDIRECT(ADDRESS(37,6))&amp;":"&amp;INDIRECT(ADDRESS(37,7))</f>
        <v>13:5</v>
      </c>
      <c r="I6" s="7" t="str">
        <f ca="1">INDIRECT(ADDRESS(41,7))&amp;":"&amp;INDIRECT(ADDRESS(41,6))</f>
        <v>13:10</v>
      </c>
      <c r="J6" s="7" t="str">
        <f ca="1">INDIRECT(ADDRESS(21,6))&amp;":"&amp;INDIRECT(ADDRESS(21,7))</f>
        <v>13:7</v>
      </c>
      <c r="K6" s="11" t="str">
        <f ca="1">INDIRECT(ADDRESS(30,6))&amp;":"&amp;INDIRECT(ADDRESS(30,7))</f>
        <v>13:7</v>
      </c>
      <c r="L6" s="176">
        <f ca="1">IF(COUNT(F7:K7)=0,"",COUNTIF(F7:K7,"&gt;0")+0.5*COUNTIF(F7:K7,0))</f>
        <v>4</v>
      </c>
      <c r="M6" s="17"/>
      <c r="N6" s="146">
        <v>2</v>
      </c>
    </row>
    <row r="7" spans="2:18" ht="24" customHeight="1">
      <c r="B7" s="136"/>
      <c r="C7" s="140"/>
      <c r="D7" s="141"/>
      <c r="E7" s="142"/>
      <c r="F7" s="22">
        <f ca="1">IF(LEN(INDIRECT(ADDRESS(ROW()-1, COLUMN())))=1,"",INDIRECT(ADDRESS(27,7))-INDIRECT(ADDRESS(27,6)))</f>
        <v>-7</v>
      </c>
      <c r="G7" s="15" t="s">
        <v>7</v>
      </c>
      <c r="H7" s="17">
        <f ca="1">IF(LEN(INDIRECT(ADDRESS(ROW()-1, COLUMN())))=1,"",INDIRECT(ADDRESS(37,6))-INDIRECT(ADDRESS(37,7)))</f>
        <v>8</v>
      </c>
      <c r="I7" s="17">
        <f ca="1">IF(LEN(INDIRECT(ADDRESS(ROW()-1, COLUMN())))=1,"",INDIRECT(ADDRESS(41,7))-INDIRECT(ADDRESS(41,6)))</f>
        <v>3</v>
      </c>
      <c r="J7" s="17">
        <f ca="1">IF(LEN(INDIRECT(ADDRESS(ROW()-1, COLUMN())))=1,"",INDIRECT(ADDRESS(21,6))-INDIRECT(ADDRESS(21,7)))</f>
        <v>6</v>
      </c>
      <c r="K7" s="18">
        <f ca="1">IF(LEN(INDIRECT(ADDRESS(ROW()-1, COLUMN())))=1,"",INDIRECT(ADDRESS(30,6))-INDIRECT(ADDRESS(30,7)))</f>
        <v>6</v>
      </c>
      <c r="L7" s="176"/>
      <c r="M7" s="17">
        <f ca="1">IF(COUNT(F7:K7)=0,"",SUM(F7:K7))</f>
        <v>16</v>
      </c>
      <c r="N7" s="131"/>
    </row>
    <row r="8" spans="2:18" ht="24" customHeight="1">
      <c r="B8" s="145">
        <v>3</v>
      </c>
      <c r="C8" s="140" t="s">
        <v>31</v>
      </c>
      <c r="D8" s="141"/>
      <c r="E8" s="142"/>
      <c r="F8" s="12" t="str">
        <f ca="1">INDIRECT(ADDRESS(31,6))&amp;":"&amp;INDIRECT(ADDRESS(31,7))</f>
        <v>10:13</v>
      </c>
      <c r="G8" s="7" t="str">
        <f ca="1">INDIRECT(ADDRESS(37,7))&amp;":"&amp;INDIRECT(ADDRESS(37,6))</f>
        <v>5:13</v>
      </c>
      <c r="H8" s="8" t="s">
        <v>7</v>
      </c>
      <c r="I8" s="7" t="str">
        <f ca="1">INDIRECT(ADDRESS(22,6))&amp;":"&amp;INDIRECT(ADDRESS(22,7))</f>
        <v>13:5</v>
      </c>
      <c r="J8" s="7" t="str">
        <f ca="1">INDIRECT(ADDRESS(26,7))&amp;":"&amp;INDIRECT(ADDRESS(26,6))</f>
        <v>13:4</v>
      </c>
      <c r="K8" s="11" t="str">
        <f ca="1">INDIRECT(ADDRESS(40,6))&amp;":"&amp;INDIRECT(ADDRESS(40,7))</f>
        <v>5:13</v>
      </c>
      <c r="L8" s="176">
        <f ca="1">IF(COUNT(F9:K9)=0,"",COUNTIF(F9:K9,"&gt;0")+0.5*COUNTIF(F9:K9,0))</f>
        <v>2</v>
      </c>
      <c r="M8" s="17"/>
      <c r="N8" s="146">
        <v>4</v>
      </c>
    </row>
    <row r="9" spans="2:18" ht="24" customHeight="1">
      <c r="B9" s="136"/>
      <c r="C9" s="140"/>
      <c r="D9" s="141"/>
      <c r="E9" s="142"/>
      <c r="F9" s="22">
        <f ca="1">IF(LEN(INDIRECT(ADDRESS(ROW()-1, COLUMN())))=1,"",INDIRECT(ADDRESS(31,6))-INDIRECT(ADDRESS(31,7)))</f>
        <v>-3</v>
      </c>
      <c r="G9" s="17">
        <f ca="1">IF(LEN(INDIRECT(ADDRESS(ROW()-1, COLUMN())))=1,"",INDIRECT(ADDRESS(37,7))-INDIRECT(ADDRESS(37,6)))</f>
        <v>-8</v>
      </c>
      <c r="H9" s="15" t="s">
        <v>7</v>
      </c>
      <c r="I9" s="17">
        <f ca="1">IF(LEN(INDIRECT(ADDRESS(ROW()-1, COLUMN())))=1,"",INDIRECT(ADDRESS(22,6))-INDIRECT(ADDRESS(22,7)))</f>
        <v>8</v>
      </c>
      <c r="J9" s="17">
        <f ca="1">IF(LEN(INDIRECT(ADDRESS(ROW()-1, COLUMN())))=1,"",INDIRECT(ADDRESS(26,7))-INDIRECT(ADDRESS(26,6)))</f>
        <v>9</v>
      </c>
      <c r="K9" s="18">
        <f ca="1">IF(LEN(INDIRECT(ADDRESS(ROW()-1, COLUMN())))=1,"",INDIRECT(ADDRESS(40,6))-INDIRECT(ADDRESS(40,7)))</f>
        <v>-8</v>
      </c>
      <c r="L9" s="176"/>
      <c r="M9" s="17">
        <f ca="1">IF(COUNT(F9:K9)=0,"",SUM(F9:K9))</f>
        <v>-2</v>
      </c>
      <c r="N9" s="131"/>
    </row>
    <row r="10" spans="2:18" ht="24" customHeight="1">
      <c r="B10" s="145">
        <v>4</v>
      </c>
      <c r="C10" s="140" t="s">
        <v>51</v>
      </c>
      <c r="D10" s="141"/>
      <c r="E10" s="142"/>
      <c r="F10" s="12" t="str">
        <f ca="1">INDIRECT(ADDRESS(36,7))&amp;":"&amp;INDIRECT(ADDRESS(36,6))</f>
        <v>4:13</v>
      </c>
      <c r="G10" s="7" t="str">
        <f ca="1">INDIRECT(ADDRESS(41,6))&amp;":"&amp;INDIRECT(ADDRESS(41,7))</f>
        <v>10:13</v>
      </c>
      <c r="H10" s="7" t="str">
        <f ca="1">INDIRECT(ADDRESS(22,7))&amp;":"&amp;INDIRECT(ADDRESS(22,6))</f>
        <v>5:13</v>
      </c>
      <c r="I10" s="8" t="s">
        <v>7</v>
      </c>
      <c r="J10" s="7" t="str">
        <f ca="1">INDIRECT(ADDRESS(32,6))&amp;":"&amp;INDIRECT(ADDRESS(32,7))</f>
        <v>13:6</v>
      </c>
      <c r="K10" s="11" t="str">
        <f ca="1">INDIRECT(ADDRESS(25,7))&amp;":"&amp;INDIRECT(ADDRESS(25,6))</f>
        <v>7:13</v>
      </c>
      <c r="L10" s="176">
        <f ca="1">IF(COUNT(F11:K11)=0,"",COUNTIF(F11:K11,"&gt;0")+0.5*COUNTIF(F11:K11,0))</f>
        <v>1</v>
      </c>
      <c r="M10" s="17"/>
      <c r="N10" s="146">
        <v>6</v>
      </c>
    </row>
    <row r="11" spans="2:18" ht="24" customHeight="1">
      <c r="B11" s="136"/>
      <c r="C11" s="140"/>
      <c r="D11" s="141"/>
      <c r="E11" s="142"/>
      <c r="F11" s="22">
        <f ca="1">IF(LEN(INDIRECT(ADDRESS(ROW()-1, COLUMN())))=1,"",INDIRECT(ADDRESS(36,7))-INDIRECT(ADDRESS(36,6)))</f>
        <v>-9</v>
      </c>
      <c r="G11" s="17">
        <f ca="1">IF(LEN(INDIRECT(ADDRESS(ROW()-1, COLUMN())))=1,"",INDIRECT(ADDRESS(41,6))-INDIRECT(ADDRESS(41,7)))</f>
        <v>-3</v>
      </c>
      <c r="H11" s="17">
        <f ca="1">IF(LEN(INDIRECT(ADDRESS(ROW()-1, COLUMN())))=1,"",INDIRECT(ADDRESS(22,7))-INDIRECT(ADDRESS(22,6)))</f>
        <v>-8</v>
      </c>
      <c r="I11" s="15" t="s">
        <v>7</v>
      </c>
      <c r="J11" s="17">
        <f ca="1">IF(LEN(INDIRECT(ADDRESS(ROW()-1, COLUMN())))=1,"",INDIRECT(ADDRESS(32,6))-INDIRECT(ADDRESS(32,7)))</f>
        <v>7</v>
      </c>
      <c r="K11" s="18">
        <f ca="1">IF(LEN(INDIRECT(ADDRESS(ROW()-1, COLUMN())))=1,"",INDIRECT(ADDRESS(25,7))-INDIRECT(ADDRESS(25,6)))</f>
        <v>-6</v>
      </c>
      <c r="L11" s="176"/>
      <c r="M11" s="17">
        <f ca="1">IF(COUNT(F11:K11)=0,"",SUM(F11:K11))</f>
        <v>-19</v>
      </c>
      <c r="N11" s="131"/>
    </row>
    <row r="12" spans="2:18" ht="24" customHeight="1">
      <c r="B12" s="145">
        <v>5</v>
      </c>
      <c r="C12" s="140" t="s">
        <v>52</v>
      </c>
      <c r="D12" s="141"/>
      <c r="E12" s="142"/>
      <c r="F12" s="12" t="str">
        <f ca="1">INDIRECT(ADDRESS(42,6))&amp;":"&amp;INDIRECT(ADDRESS(42,7))</f>
        <v>9:10</v>
      </c>
      <c r="G12" s="7" t="str">
        <f ca="1">INDIRECT(ADDRESS(21,7))&amp;":"&amp;INDIRECT(ADDRESS(21,6))</f>
        <v>7:13</v>
      </c>
      <c r="H12" s="7" t="str">
        <f ca="1">INDIRECT(ADDRESS(26,6))&amp;":"&amp;INDIRECT(ADDRESS(26,7))</f>
        <v>4:13</v>
      </c>
      <c r="I12" s="7" t="str">
        <f ca="1">INDIRECT(ADDRESS(32,7))&amp;":"&amp;INDIRECT(ADDRESS(32,6))</f>
        <v>6:13</v>
      </c>
      <c r="J12" s="8" t="s">
        <v>7</v>
      </c>
      <c r="K12" s="11" t="str">
        <f ca="1">INDIRECT(ADDRESS(35,7))&amp;":"&amp;INDIRECT(ADDRESS(35,6))</f>
        <v>13:6</v>
      </c>
      <c r="L12" s="176">
        <f ca="1">IF(COUNT(F13:K13)=0,"",COUNTIF(F13:K13,"&gt;0")+0.5*COUNTIF(F13:K13,0))</f>
        <v>1</v>
      </c>
      <c r="M12" s="17"/>
      <c r="N12" s="146">
        <v>5</v>
      </c>
    </row>
    <row r="13" spans="2:18" ht="24" customHeight="1">
      <c r="B13" s="136"/>
      <c r="C13" s="140"/>
      <c r="D13" s="141"/>
      <c r="E13" s="142"/>
      <c r="F13" s="22">
        <f ca="1">IF(LEN(INDIRECT(ADDRESS(ROW()-1, COLUMN())))=1,"",INDIRECT(ADDRESS(42,6))-INDIRECT(ADDRESS(42,7)))</f>
        <v>-1</v>
      </c>
      <c r="G13" s="17">
        <f ca="1">IF(LEN(INDIRECT(ADDRESS(ROW()-1, COLUMN())))=1,"",INDIRECT(ADDRESS(21,7))-INDIRECT(ADDRESS(21,6)))</f>
        <v>-6</v>
      </c>
      <c r="H13" s="17">
        <f ca="1">IF(LEN(INDIRECT(ADDRESS(ROW()-1, COLUMN())))=1,"",INDIRECT(ADDRESS(26,6))-INDIRECT(ADDRESS(26,7)))</f>
        <v>-9</v>
      </c>
      <c r="I13" s="17">
        <f ca="1">IF(LEN(INDIRECT(ADDRESS(ROW()-1, COLUMN())))=1,"",INDIRECT(ADDRESS(32,7))-INDIRECT(ADDRESS(32,6)))</f>
        <v>-7</v>
      </c>
      <c r="J13" s="15" t="s">
        <v>7</v>
      </c>
      <c r="K13" s="18">
        <f ca="1">IF(LEN(INDIRECT(ADDRESS(ROW()-1, COLUMN())))=1,"",INDIRECT(ADDRESS(35,7))-INDIRECT(ADDRESS(35,6)))</f>
        <v>7</v>
      </c>
      <c r="L13" s="176"/>
      <c r="M13" s="17">
        <f ca="1">IF(COUNT(F13:K13)=0,"",SUM(F13:K13))</f>
        <v>-16</v>
      </c>
      <c r="N13" s="131"/>
    </row>
    <row r="14" spans="2:18" ht="24" customHeight="1">
      <c r="B14" s="145">
        <v>6</v>
      </c>
      <c r="C14" s="140" t="s">
        <v>53</v>
      </c>
      <c r="D14" s="141"/>
      <c r="E14" s="142"/>
      <c r="F14" s="12" t="str">
        <f ca="1">INDIRECT(ADDRESS(20,7))&amp;":"&amp;INDIRECT(ADDRESS(20,6))</f>
        <v>5:13</v>
      </c>
      <c r="G14" s="7" t="str">
        <f ca="1">INDIRECT(ADDRESS(30,7))&amp;":"&amp;INDIRECT(ADDRESS(30,6))</f>
        <v>7:13</v>
      </c>
      <c r="H14" s="7" t="str">
        <f ca="1">INDIRECT(ADDRESS(40,7))&amp;":"&amp;INDIRECT(ADDRESS(40,6))</f>
        <v>13:5</v>
      </c>
      <c r="I14" s="7" t="str">
        <f ca="1">INDIRECT(ADDRESS(25,6))&amp;":"&amp;INDIRECT(ADDRESS(25,7))</f>
        <v>13:7</v>
      </c>
      <c r="J14" s="7" t="str">
        <f ca="1">INDIRECT(ADDRESS(35,6))&amp;":"&amp;INDIRECT(ADDRESS(35,7))</f>
        <v>6:13</v>
      </c>
      <c r="K14" s="13" t="s">
        <v>7</v>
      </c>
      <c r="L14" s="176">
        <f ca="1">IF(COUNT(F15:K15)=0,"",COUNTIF(F15:K15,"&gt;0")+0.5*COUNTIF(F15:K15,0))</f>
        <v>2</v>
      </c>
      <c r="M14" s="17"/>
      <c r="N14" s="146">
        <v>3</v>
      </c>
    </row>
    <row r="15" spans="2:18" ht="24" customHeight="1" thickBot="1">
      <c r="B15" s="160"/>
      <c r="C15" s="161"/>
      <c r="D15" s="162"/>
      <c r="E15" s="163"/>
      <c r="F15" s="20">
        <f ca="1">IF(LEN(INDIRECT(ADDRESS(ROW()-1, COLUMN())))=1,"",INDIRECT(ADDRESS(20,7))-INDIRECT(ADDRESS(20,6)))</f>
        <v>-8</v>
      </c>
      <c r="G15" s="19">
        <f ca="1">IF(LEN(INDIRECT(ADDRESS(ROW()-1, COLUMN())))=1,"",INDIRECT(ADDRESS(30,7))-INDIRECT(ADDRESS(30,6)))</f>
        <v>-6</v>
      </c>
      <c r="H15" s="19">
        <f ca="1">IF(LEN(INDIRECT(ADDRESS(ROW()-1, COLUMN())))=1,"",INDIRECT(ADDRESS(40,7))-INDIRECT(ADDRESS(40,6)))</f>
        <v>8</v>
      </c>
      <c r="I15" s="19">
        <f ca="1">IF(LEN(INDIRECT(ADDRESS(ROW()-1, COLUMN())))=1,"",INDIRECT(ADDRESS(25,6))-INDIRECT(ADDRESS(25,7)))</f>
        <v>6</v>
      </c>
      <c r="J15" s="19">
        <f ca="1">IF(LEN(INDIRECT(ADDRESS(ROW()-1, COLUMN())))=1,"",INDIRECT(ADDRESS(35,6))-INDIRECT(ADDRESS(35,7)))</f>
        <v>-7</v>
      </c>
      <c r="K15" s="16" t="s">
        <v>7</v>
      </c>
      <c r="L15" s="177"/>
      <c r="M15" s="19">
        <f ca="1">IF(COUNT(F15:K15)=0,"",SUM(F15:K15))</f>
        <v>-7</v>
      </c>
      <c r="N15" s="165"/>
    </row>
    <row r="16" spans="2:18">
      <c r="M16"/>
    </row>
    <row r="17" spans="1:13">
      <c r="M17"/>
    </row>
    <row r="18" spans="1:13">
      <c r="M18"/>
    </row>
    <row r="19" spans="1:13" s="38" customFormat="1" ht="30" customHeight="1" thickBot="1">
      <c r="A19" s="37"/>
      <c r="B19" s="158" t="s">
        <v>4</v>
      </c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3" s="38" customFormat="1" ht="30" customHeight="1" thickBot="1">
      <c r="A20" s="37"/>
      <c r="B20" s="42">
        <v>1</v>
      </c>
      <c r="C20" s="173" t="str">
        <f ca="1">IF(ISBLANK(INDIRECT(ADDRESS(B20*2+2,3))),"",INDIRECT(ADDRESS(B20*2+2,3)))</f>
        <v>Семченкова Марина</v>
      </c>
      <c r="D20" s="173"/>
      <c r="E20" s="174"/>
      <c r="F20" s="39">
        <v>13</v>
      </c>
      <c r="G20" s="40">
        <v>5</v>
      </c>
      <c r="H20" s="172" t="str">
        <f ca="1">IF(ISBLANK(INDIRECT(ADDRESS(K20*2+2,3))),"",INDIRECT(ADDRESS(K20*2+2,3)))</f>
        <v>Попова Галина</v>
      </c>
      <c r="I20" s="173"/>
      <c r="J20" s="173"/>
      <c r="K20" s="42">
        <v>6</v>
      </c>
      <c r="L20" s="41" t="s">
        <v>11</v>
      </c>
      <c r="M20" s="36"/>
    </row>
    <row r="21" spans="1:13" s="38" customFormat="1" ht="30" customHeight="1" thickBot="1">
      <c r="A21" s="37"/>
      <c r="B21" s="42">
        <v>2</v>
      </c>
      <c r="C21" s="173" t="str">
        <f ca="1">IF(ISBLANK(INDIRECT(ADDRESS(B21*2+2,3))),"",INDIRECT(ADDRESS(B21*2+2,3)))</f>
        <v>Мандельтам Евгения</v>
      </c>
      <c r="D21" s="173"/>
      <c r="E21" s="174"/>
      <c r="F21" s="39">
        <v>13</v>
      </c>
      <c r="G21" s="40">
        <v>7</v>
      </c>
      <c r="H21" s="172" t="str">
        <f ca="1">IF(ISBLANK(INDIRECT(ADDRESS(K21*2+2,3))),"",INDIRECT(ADDRESS(K21*2+2,3)))</f>
        <v>Мельник Татьяна</v>
      </c>
      <c r="I21" s="173"/>
      <c r="J21" s="173"/>
      <c r="K21" s="42">
        <v>5</v>
      </c>
      <c r="L21" s="41" t="s">
        <v>11</v>
      </c>
      <c r="M21" s="36"/>
    </row>
    <row r="22" spans="1:13" s="38" customFormat="1" ht="30" customHeight="1" thickBot="1">
      <c r="A22" s="37"/>
      <c r="B22" s="42">
        <v>3</v>
      </c>
      <c r="C22" s="173" t="str">
        <f ca="1">IF(ISBLANK(INDIRECT(ADDRESS(B22*2+2,3))),"",INDIRECT(ADDRESS(B22*2+2,3)))</f>
        <v>Румянцева Наталья</v>
      </c>
      <c r="D22" s="173"/>
      <c r="E22" s="174"/>
      <c r="F22" s="39">
        <v>13</v>
      </c>
      <c r="G22" s="40">
        <v>5</v>
      </c>
      <c r="H22" s="172" t="str">
        <f ca="1">IF(ISBLANK(INDIRECT(ADDRESS(K22*2+2,3))),"",INDIRECT(ADDRESS(K22*2+2,3)))</f>
        <v>Заходякина Кристина</v>
      </c>
      <c r="I22" s="173"/>
      <c r="J22" s="173"/>
      <c r="K22" s="42">
        <v>4</v>
      </c>
      <c r="L22" s="41" t="s">
        <v>11</v>
      </c>
      <c r="M22" s="36"/>
    </row>
    <row r="23" spans="1:13" s="38" customFormat="1" ht="30" customHeight="1">
      <c r="A23" s="37"/>
      <c r="M23" s="43"/>
    </row>
    <row r="24" spans="1:13" s="38" customFormat="1" ht="30" customHeight="1" thickBot="1">
      <c r="A24" s="37"/>
      <c r="B24" s="158" t="s">
        <v>5</v>
      </c>
      <c r="C24" s="158"/>
      <c r="D24" s="158"/>
      <c r="E24" s="158"/>
      <c r="F24" s="158"/>
      <c r="G24" s="158"/>
      <c r="H24" s="158"/>
      <c r="I24" s="158"/>
      <c r="J24" s="158"/>
      <c r="K24" s="158"/>
      <c r="M24" s="43"/>
    </row>
    <row r="25" spans="1:13" s="38" customFormat="1" ht="30" customHeight="1" thickBot="1">
      <c r="A25" s="37"/>
      <c r="B25" s="42">
        <v>6</v>
      </c>
      <c r="C25" s="173" t="str">
        <f ca="1">IF(ISBLANK(INDIRECT(ADDRESS(B25*2+2,3))),"",INDIRECT(ADDRESS(B25*2+2,3)))</f>
        <v>Попова Галина</v>
      </c>
      <c r="D25" s="173"/>
      <c r="E25" s="174"/>
      <c r="F25" s="39">
        <v>13</v>
      </c>
      <c r="G25" s="40">
        <v>7</v>
      </c>
      <c r="H25" s="172" t="str">
        <f ca="1">IF(ISBLANK(INDIRECT(ADDRESS(K25*2+2,3))),"",INDIRECT(ADDRESS(K25*2+2,3)))</f>
        <v>Заходякина Кристина</v>
      </c>
      <c r="I25" s="173"/>
      <c r="J25" s="173"/>
      <c r="K25" s="42">
        <v>4</v>
      </c>
      <c r="L25" s="41" t="s">
        <v>11</v>
      </c>
      <c r="M25" s="36"/>
    </row>
    <row r="26" spans="1:13" s="38" customFormat="1" ht="30" customHeight="1" thickBot="1">
      <c r="A26" s="37"/>
      <c r="B26" s="42">
        <v>5</v>
      </c>
      <c r="C26" s="173" t="str">
        <f ca="1">IF(ISBLANK(INDIRECT(ADDRESS(B26*2+2,3))),"",INDIRECT(ADDRESS(B26*2+2,3)))</f>
        <v>Мельник Татьяна</v>
      </c>
      <c r="D26" s="173"/>
      <c r="E26" s="174"/>
      <c r="F26" s="39">
        <v>4</v>
      </c>
      <c r="G26" s="40">
        <v>13</v>
      </c>
      <c r="H26" s="172" t="str">
        <f ca="1">IF(ISBLANK(INDIRECT(ADDRESS(K26*2+2,3))),"",INDIRECT(ADDRESS(K26*2+2,3)))</f>
        <v>Румянцева Наталья</v>
      </c>
      <c r="I26" s="173"/>
      <c r="J26" s="173"/>
      <c r="K26" s="42">
        <v>3</v>
      </c>
      <c r="L26" s="41" t="s">
        <v>11</v>
      </c>
      <c r="M26" s="36"/>
    </row>
    <row r="27" spans="1:13" s="38" customFormat="1" ht="30" customHeight="1" thickBot="1">
      <c r="A27" s="37"/>
      <c r="B27" s="42">
        <v>1</v>
      </c>
      <c r="C27" s="173" t="str">
        <f ca="1">IF(ISBLANK(INDIRECT(ADDRESS(B27*2+2,3))),"",INDIRECT(ADDRESS(B27*2+2,3)))</f>
        <v>Семченкова Марина</v>
      </c>
      <c r="D27" s="173"/>
      <c r="E27" s="174"/>
      <c r="F27" s="39">
        <v>13</v>
      </c>
      <c r="G27" s="40">
        <v>6</v>
      </c>
      <c r="H27" s="172" t="str">
        <f ca="1">IF(ISBLANK(INDIRECT(ADDRESS(K27*2+2,3))),"",INDIRECT(ADDRESS(K27*2+2,3)))</f>
        <v>Мандельтам Евгения</v>
      </c>
      <c r="I27" s="173"/>
      <c r="J27" s="173"/>
      <c r="K27" s="42">
        <v>2</v>
      </c>
      <c r="L27" s="41" t="s">
        <v>11</v>
      </c>
      <c r="M27" s="36"/>
    </row>
    <row r="28" spans="1:13" s="38" customFormat="1" ht="30" customHeight="1">
      <c r="A28" s="37"/>
      <c r="M28" s="43"/>
    </row>
    <row r="29" spans="1:13" s="38" customFormat="1" ht="30" customHeight="1" thickBot="1">
      <c r="A29" s="37"/>
      <c r="B29" s="158" t="s">
        <v>6</v>
      </c>
      <c r="C29" s="158"/>
      <c r="D29" s="158"/>
      <c r="E29" s="158"/>
      <c r="F29" s="158"/>
      <c r="G29" s="158"/>
      <c r="H29" s="158"/>
      <c r="I29" s="158"/>
      <c r="J29" s="158"/>
      <c r="K29" s="158"/>
      <c r="M29" s="43"/>
    </row>
    <row r="30" spans="1:13" s="38" customFormat="1" ht="30" customHeight="1" thickBot="1">
      <c r="A30" s="37"/>
      <c r="B30" s="42">
        <v>2</v>
      </c>
      <c r="C30" s="173" t="str">
        <f ca="1">IF(ISBLANK(INDIRECT(ADDRESS(B30*2+2,3))),"",INDIRECT(ADDRESS(B30*2+2,3)))</f>
        <v>Мандельтам Евгения</v>
      </c>
      <c r="D30" s="173"/>
      <c r="E30" s="174"/>
      <c r="F30" s="39">
        <v>13</v>
      </c>
      <c r="G30" s="40">
        <v>7</v>
      </c>
      <c r="H30" s="172" t="str">
        <f ca="1">IF(ISBLANK(INDIRECT(ADDRESS(K30*2+2,3))),"",INDIRECT(ADDRESS(K30*2+2,3)))</f>
        <v>Попова Галина</v>
      </c>
      <c r="I30" s="173"/>
      <c r="J30" s="173"/>
      <c r="K30" s="42">
        <v>6</v>
      </c>
      <c r="L30" s="41" t="s">
        <v>11</v>
      </c>
      <c r="M30" s="36"/>
    </row>
    <row r="31" spans="1:13" s="38" customFormat="1" ht="30" customHeight="1" thickBot="1">
      <c r="A31" s="37"/>
      <c r="B31" s="42">
        <v>3</v>
      </c>
      <c r="C31" s="173" t="str">
        <f ca="1">IF(ISBLANK(INDIRECT(ADDRESS(B31*2+2,3))),"",INDIRECT(ADDRESS(B31*2+2,3)))</f>
        <v>Румянцева Наталья</v>
      </c>
      <c r="D31" s="173"/>
      <c r="E31" s="174"/>
      <c r="F31" s="39">
        <v>10</v>
      </c>
      <c r="G31" s="40">
        <v>13</v>
      </c>
      <c r="H31" s="172" t="str">
        <f ca="1">IF(ISBLANK(INDIRECT(ADDRESS(K31*2+2,3))),"",INDIRECT(ADDRESS(K31*2+2,3)))</f>
        <v>Семченкова Марина</v>
      </c>
      <c r="I31" s="173"/>
      <c r="J31" s="173"/>
      <c r="K31" s="42">
        <v>1</v>
      </c>
      <c r="L31" s="41" t="s">
        <v>11</v>
      </c>
      <c r="M31" s="36"/>
    </row>
    <row r="32" spans="1:13" s="38" customFormat="1" ht="30" customHeight="1" thickBot="1">
      <c r="A32" s="37"/>
      <c r="B32" s="42">
        <v>4</v>
      </c>
      <c r="C32" s="173" t="str">
        <f ca="1">IF(ISBLANK(INDIRECT(ADDRESS(B32*2+2,3))),"",INDIRECT(ADDRESS(B32*2+2,3)))</f>
        <v>Заходякина Кристина</v>
      </c>
      <c r="D32" s="173"/>
      <c r="E32" s="174"/>
      <c r="F32" s="39">
        <v>13</v>
      </c>
      <c r="G32" s="40">
        <v>6</v>
      </c>
      <c r="H32" s="172" t="str">
        <f ca="1">IF(ISBLANK(INDIRECT(ADDRESS(K32*2+2,3))),"",INDIRECT(ADDRESS(K32*2+2,3)))</f>
        <v>Мельник Татьяна</v>
      </c>
      <c r="I32" s="173"/>
      <c r="J32" s="173"/>
      <c r="K32" s="42">
        <v>5</v>
      </c>
      <c r="L32" s="41" t="s">
        <v>11</v>
      </c>
      <c r="M32" s="36"/>
    </row>
    <row r="33" spans="1:13" s="38" customFormat="1" ht="30" customHeight="1">
      <c r="A33" s="37"/>
      <c r="M33" s="43"/>
    </row>
    <row r="34" spans="1:13" s="38" customFormat="1" ht="30" customHeight="1" thickBot="1">
      <c r="A34" s="37"/>
      <c r="B34" s="158" t="s">
        <v>8</v>
      </c>
      <c r="C34" s="158"/>
      <c r="D34" s="158"/>
      <c r="E34" s="158"/>
      <c r="F34" s="158"/>
      <c r="G34" s="158"/>
      <c r="H34" s="158"/>
      <c r="I34" s="158"/>
      <c r="J34" s="158"/>
      <c r="K34" s="158"/>
      <c r="M34" s="43"/>
    </row>
    <row r="35" spans="1:13" s="38" customFormat="1" ht="30" customHeight="1" thickBot="1">
      <c r="A35" s="37"/>
      <c r="B35" s="42">
        <v>6</v>
      </c>
      <c r="C35" s="173" t="str">
        <f ca="1">IF(ISBLANK(INDIRECT(ADDRESS(B35*2+2,3))),"",INDIRECT(ADDRESS(B35*2+2,3)))</f>
        <v>Попова Галина</v>
      </c>
      <c r="D35" s="173"/>
      <c r="E35" s="174"/>
      <c r="F35" s="39">
        <v>6</v>
      </c>
      <c r="G35" s="40">
        <v>13</v>
      </c>
      <c r="H35" s="172" t="str">
        <f ca="1">IF(ISBLANK(INDIRECT(ADDRESS(K35*2+2,3))),"",INDIRECT(ADDRESS(K35*2+2,3)))</f>
        <v>Мельник Татьяна</v>
      </c>
      <c r="I35" s="173"/>
      <c r="J35" s="173"/>
      <c r="K35" s="42">
        <v>5</v>
      </c>
      <c r="L35" s="41" t="s">
        <v>11</v>
      </c>
      <c r="M35" s="36"/>
    </row>
    <row r="36" spans="1:13" s="38" customFormat="1" ht="30" customHeight="1" thickBot="1">
      <c r="A36" s="37"/>
      <c r="B36" s="42">
        <v>1</v>
      </c>
      <c r="C36" s="173" t="str">
        <f ca="1">IF(ISBLANK(INDIRECT(ADDRESS(B36*2+2,3))),"",INDIRECT(ADDRESS(B36*2+2,3)))</f>
        <v>Семченкова Марина</v>
      </c>
      <c r="D36" s="173"/>
      <c r="E36" s="174"/>
      <c r="F36" s="39">
        <v>13</v>
      </c>
      <c r="G36" s="40">
        <v>4</v>
      </c>
      <c r="H36" s="172" t="str">
        <f ca="1">IF(ISBLANK(INDIRECT(ADDRESS(K36*2+2,3))),"",INDIRECT(ADDRESS(K36*2+2,3)))</f>
        <v>Заходякина Кристина</v>
      </c>
      <c r="I36" s="173"/>
      <c r="J36" s="173"/>
      <c r="K36" s="42">
        <v>4</v>
      </c>
      <c r="L36" s="41" t="s">
        <v>11</v>
      </c>
      <c r="M36" s="36"/>
    </row>
    <row r="37" spans="1:13" s="38" customFormat="1" ht="30" customHeight="1" thickBot="1">
      <c r="A37" s="37"/>
      <c r="B37" s="42">
        <v>2</v>
      </c>
      <c r="C37" s="173" t="str">
        <f ca="1">IF(ISBLANK(INDIRECT(ADDRESS(B37*2+2,3))),"",INDIRECT(ADDRESS(B37*2+2,3)))</f>
        <v>Мандельтам Евгения</v>
      </c>
      <c r="D37" s="173"/>
      <c r="E37" s="174"/>
      <c r="F37" s="39">
        <v>13</v>
      </c>
      <c r="G37" s="40">
        <v>5</v>
      </c>
      <c r="H37" s="172" t="str">
        <f ca="1">IF(ISBLANK(INDIRECT(ADDRESS(K37*2+2,3))),"",INDIRECT(ADDRESS(K37*2+2,3)))</f>
        <v>Румянцева Наталья</v>
      </c>
      <c r="I37" s="173"/>
      <c r="J37" s="173"/>
      <c r="K37" s="42">
        <v>3</v>
      </c>
      <c r="L37" s="41" t="s">
        <v>11</v>
      </c>
      <c r="M37" s="36"/>
    </row>
    <row r="38" spans="1:13" s="38" customFormat="1" ht="30" customHeight="1">
      <c r="A38" s="37"/>
      <c r="M38" s="43"/>
    </row>
    <row r="39" spans="1:13" s="38" customFormat="1" ht="30" customHeight="1" thickBot="1">
      <c r="A39" s="37"/>
      <c r="B39" s="158" t="s">
        <v>9</v>
      </c>
      <c r="C39" s="158"/>
      <c r="D39" s="158"/>
      <c r="E39" s="158"/>
      <c r="F39" s="158"/>
      <c r="G39" s="158"/>
      <c r="H39" s="158"/>
      <c r="I39" s="158"/>
      <c r="J39" s="158"/>
      <c r="K39" s="158"/>
      <c r="M39" s="43"/>
    </row>
    <row r="40" spans="1:13" s="38" customFormat="1" ht="30" customHeight="1" thickBot="1">
      <c r="A40" s="37"/>
      <c r="B40" s="42">
        <v>3</v>
      </c>
      <c r="C40" s="173" t="str">
        <f ca="1">IF(ISBLANK(INDIRECT(ADDRESS(B40*2+2,3))),"",INDIRECT(ADDRESS(B40*2+2,3)))</f>
        <v>Румянцева Наталья</v>
      </c>
      <c r="D40" s="173"/>
      <c r="E40" s="174"/>
      <c r="F40" s="39">
        <v>5</v>
      </c>
      <c r="G40" s="40">
        <v>13</v>
      </c>
      <c r="H40" s="172" t="str">
        <f ca="1">IF(ISBLANK(INDIRECT(ADDRESS(K40*2+2,3))),"",INDIRECT(ADDRESS(K40*2+2,3)))</f>
        <v>Попова Галина</v>
      </c>
      <c r="I40" s="173"/>
      <c r="J40" s="173"/>
      <c r="K40" s="42">
        <v>6</v>
      </c>
      <c r="L40" s="41" t="s">
        <v>11</v>
      </c>
      <c r="M40" s="36"/>
    </row>
    <row r="41" spans="1:13" s="38" customFormat="1" ht="30" customHeight="1" thickBot="1">
      <c r="A41" s="37"/>
      <c r="B41" s="42">
        <v>4</v>
      </c>
      <c r="C41" s="173" t="str">
        <f ca="1">IF(ISBLANK(INDIRECT(ADDRESS(B41*2+2,3))),"",INDIRECT(ADDRESS(B41*2+2,3)))</f>
        <v>Заходякина Кристина</v>
      </c>
      <c r="D41" s="173"/>
      <c r="E41" s="174"/>
      <c r="F41" s="39">
        <v>10</v>
      </c>
      <c r="G41" s="40">
        <v>13</v>
      </c>
      <c r="H41" s="172" t="str">
        <f ca="1">IF(ISBLANK(INDIRECT(ADDRESS(K41*2+2,3))),"",INDIRECT(ADDRESS(K41*2+2,3)))</f>
        <v>Мандельтам Евгения</v>
      </c>
      <c r="I41" s="173"/>
      <c r="J41" s="173"/>
      <c r="K41" s="42">
        <v>2</v>
      </c>
      <c r="L41" s="41" t="s">
        <v>11</v>
      </c>
      <c r="M41" s="36"/>
    </row>
    <row r="42" spans="1:13" s="38" customFormat="1" ht="30" customHeight="1" thickBot="1">
      <c r="A42" s="37"/>
      <c r="B42" s="42">
        <v>5</v>
      </c>
      <c r="C42" s="173" t="str">
        <f ca="1">IF(ISBLANK(INDIRECT(ADDRESS(B42*2+2,3))),"",INDIRECT(ADDRESS(B42*2+2,3)))</f>
        <v>Мельник Татьяна</v>
      </c>
      <c r="D42" s="173"/>
      <c r="E42" s="174"/>
      <c r="F42" s="39">
        <v>9</v>
      </c>
      <c r="G42" s="40">
        <v>10</v>
      </c>
      <c r="H42" s="172" t="str">
        <f ca="1">IF(ISBLANK(INDIRECT(ADDRESS(K42*2+2,3))),"",INDIRECT(ADDRESS(K42*2+2,3)))</f>
        <v>Семченкова Марина</v>
      </c>
      <c r="I42" s="173"/>
      <c r="J42" s="173"/>
      <c r="K42" s="42">
        <v>1</v>
      </c>
      <c r="L42" s="41" t="s">
        <v>11</v>
      </c>
      <c r="M42" s="36"/>
    </row>
    <row r="45" spans="1:13" ht="21">
      <c r="B45" s="35"/>
      <c r="C45" s="44" t="s">
        <v>16</v>
      </c>
      <c r="D45" s="44"/>
      <c r="E45" s="44"/>
    </row>
    <row r="46" spans="1:13" ht="21">
      <c r="B46" s="35"/>
      <c r="C46" s="44"/>
      <c r="D46" s="44"/>
      <c r="E46" s="44"/>
    </row>
    <row r="47" spans="1:13" ht="21">
      <c r="B47" s="35"/>
      <c r="C47" s="44"/>
      <c r="D47" s="44"/>
      <c r="E47" s="44"/>
    </row>
    <row r="48" spans="1:13" ht="21">
      <c r="B48" s="35"/>
      <c r="C48" s="44" t="s">
        <v>25</v>
      </c>
      <c r="D48" s="44"/>
      <c r="E48" s="44"/>
    </row>
  </sheetData>
  <sheetCalcPr fullCalcOnLoad="1"/>
  <mergeCells count="61">
    <mergeCell ref="B6:B7"/>
    <mergeCell ref="C6:E7"/>
    <mergeCell ref="L6:L7"/>
    <mergeCell ref="B1:N1"/>
    <mergeCell ref="N6:N7"/>
    <mergeCell ref="C3:E3"/>
    <mergeCell ref="B4:B5"/>
    <mergeCell ref="C4:E5"/>
    <mergeCell ref="L4:L5"/>
    <mergeCell ref="N4:N5"/>
    <mergeCell ref="N10:N11"/>
    <mergeCell ref="B8:B9"/>
    <mergeCell ref="C8:E9"/>
    <mergeCell ref="L8:L9"/>
    <mergeCell ref="N8:N9"/>
    <mergeCell ref="B10:B11"/>
    <mergeCell ref="C10:E11"/>
    <mergeCell ref="L10:L11"/>
    <mergeCell ref="N12:N13"/>
    <mergeCell ref="B14:B15"/>
    <mergeCell ref="C14:E15"/>
    <mergeCell ref="L14:L15"/>
    <mergeCell ref="N14:N15"/>
    <mergeCell ref="L12:L13"/>
    <mergeCell ref="B12:B13"/>
    <mergeCell ref="C12:E13"/>
    <mergeCell ref="C21:E21"/>
    <mergeCell ref="H21:J21"/>
    <mergeCell ref="C30:E30"/>
    <mergeCell ref="H30:J30"/>
    <mergeCell ref="C26:E26"/>
    <mergeCell ref="H26:J26"/>
    <mergeCell ref="B19:K19"/>
    <mergeCell ref="C20:E20"/>
    <mergeCell ref="H20:J20"/>
    <mergeCell ref="C31:E31"/>
    <mergeCell ref="H31:J31"/>
    <mergeCell ref="B29:K29"/>
    <mergeCell ref="C22:E22"/>
    <mergeCell ref="H22:J22"/>
    <mergeCell ref="B24:K24"/>
    <mergeCell ref="C25:E25"/>
    <mergeCell ref="H25:J25"/>
    <mergeCell ref="C27:E27"/>
    <mergeCell ref="H27:J27"/>
    <mergeCell ref="C42:E42"/>
    <mergeCell ref="H42:J42"/>
    <mergeCell ref="B34:K34"/>
    <mergeCell ref="C35:E35"/>
    <mergeCell ref="H35:J35"/>
    <mergeCell ref="C36:E36"/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zoomScaleNormal="100" workbookViewId="0">
      <selection activeCell="B1" sqref="B1:N1"/>
    </sheetView>
  </sheetViews>
  <sheetFormatPr defaultRowHeight="15" customHeight="1"/>
  <cols>
    <col min="1" max="1" width="9.140625" style="35"/>
    <col min="2" max="16384" width="9.140625" style="24"/>
  </cols>
  <sheetData>
    <row r="1" spans="2:14" ht="59.25" customHeight="1">
      <c r="B1" s="183" t="s">
        <v>55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5" customHeight="1">
      <c r="C2" s="31"/>
    </row>
    <row r="3" spans="2:14" ht="15" customHeight="1">
      <c r="C3" s="31"/>
    </row>
    <row r="4" spans="2:14" ht="15" customHeight="1">
      <c r="B4" s="179" t="s">
        <v>33</v>
      </c>
      <c r="C4" s="180"/>
      <c r="D4" s="67">
        <v>13</v>
      </c>
      <c r="E4" s="25"/>
    </row>
    <row r="5" spans="2:14" ht="15" customHeight="1">
      <c r="C5" s="31"/>
      <c r="E5" s="26"/>
    </row>
    <row r="6" spans="2:14" ht="15" customHeight="1">
      <c r="B6" s="30" t="s">
        <v>11</v>
      </c>
      <c r="C6" s="31"/>
      <c r="E6" s="27"/>
      <c r="F6" s="181" t="str">
        <f>IF(ISBLANK(D4),"",IF(D4&gt;D8,B4,B8))</f>
        <v>Лукина</v>
      </c>
      <c r="G6" s="180"/>
      <c r="H6" s="67">
        <v>13</v>
      </c>
      <c r="I6" s="25"/>
    </row>
    <row r="7" spans="2:14" ht="15" customHeight="1">
      <c r="C7" s="31"/>
      <c r="E7" s="27"/>
      <c r="I7" s="26"/>
    </row>
    <row r="8" spans="2:14" ht="15" customHeight="1">
      <c r="B8" s="179" t="s">
        <v>34</v>
      </c>
      <c r="C8" s="180"/>
      <c r="D8" s="67">
        <v>4</v>
      </c>
      <c r="E8" s="28"/>
      <c r="I8" s="27"/>
    </row>
    <row r="9" spans="2:14" ht="15" customHeight="1">
      <c r="C9" s="31"/>
      <c r="I9" s="27"/>
    </row>
    <row r="10" spans="2:14" ht="15" customHeight="1">
      <c r="C10" s="31"/>
      <c r="G10" s="30" t="s">
        <v>11</v>
      </c>
      <c r="H10" s="31"/>
      <c r="I10" s="27"/>
      <c r="J10" s="181" t="str">
        <f>IF(ISBLANK(H6),"",IF(H6&gt;H14,F6,F14))</f>
        <v>Лукина</v>
      </c>
      <c r="K10" s="179"/>
      <c r="L10" s="67">
        <v>12</v>
      </c>
      <c r="M10" s="25"/>
    </row>
    <row r="11" spans="2:14" ht="15" customHeight="1">
      <c r="C11" s="31"/>
      <c r="I11" s="27"/>
      <c r="M11" s="26"/>
    </row>
    <row r="12" spans="2:14" ht="15" customHeight="1">
      <c r="B12" s="179" t="s">
        <v>35</v>
      </c>
      <c r="C12" s="180"/>
      <c r="D12" s="67">
        <v>8</v>
      </c>
      <c r="E12" s="25"/>
      <c r="I12" s="27"/>
      <c r="M12" s="27"/>
    </row>
    <row r="13" spans="2:14" ht="15" customHeight="1">
      <c r="C13" s="31"/>
      <c r="E13" s="26"/>
      <c r="I13" s="27"/>
      <c r="M13" s="27"/>
    </row>
    <row r="14" spans="2:14" ht="15" customHeight="1">
      <c r="B14" s="30" t="s">
        <v>11</v>
      </c>
      <c r="C14" s="31"/>
      <c r="E14" s="27"/>
      <c r="F14" s="181" t="str">
        <f>IF(ISBLANK(D12),"",IF(D12&gt;D16,B12,B16))</f>
        <v>Мандельштам Е.</v>
      </c>
      <c r="G14" s="180"/>
      <c r="H14" s="67">
        <v>3</v>
      </c>
      <c r="I14" s="28"/>
      <c r="M14" s="27"/>
    </row>
    <row r="15" spans="2:14" ht="15" customHeight="1">
      <c r="E15" s="27"/>
      <c r="M15" s="27"/>
    </row>
    <row r="16" spans="2:14" ht="15" customHeight="1">
      <c r="B16" s="179" t="s">
        <v>56</v>
      </c>
      <c r="C16" s="180"/>
      <c r="D16" s="67">
        <v>13</v>
      </c>
      <c r="E16" s="28"/>
      <c r="M16" s="27"/>
    </row>
    <row r="17" spans="2:15" ht="15" customHeight="1">
      <c r="M17" s="27"/>
    </row>
    <row r="18" spans="2:15" ht="15" customHeight="1">
      <c r="B18" s="30"/>
      <c r="K18" s="30" t="s">
        <v>11</v>
      </c>
      <c r="L18" s="31"/>
      <c r="M18" s="27"/>
      <c r="N18" s="181" t="str">
        <f>IF(ISBLANK(L10),"",IF(L10&gt;L26,J10,J26))</f>
        <v>Семченкова</v>
      </c>
      <c r="O18" s="179"/>
    </row>
    <row r="19" spans="2:15" ht="15" customHeight="1">
      <c r="M19" s="27"/>
    </row>
    <row r="20" spans="2:15" ht="15" customHeight="1">
      <c r="B20" s="179" t="s">
        <v>57</v>
      </c>
      <c r="C20" s="180"/>
      <c r="D20" s="67">
        <v>12</v>
      </c>
      <c r="E20" s="25"/>
      <c r="M20" s="27"/>
    </row>
    <row r="21" spans="2:15" ht="15" customHeight="1">
      <c r="E21" s="26"/>
      <c r="M21" s="27"/>
    </row>
    <row r="22" spans="2:15" ht="15" customHeight="1">
      <c r="B22" s="30" t="s">
        <v>11</v>
      </c>
      <c r="C22" s="31"/>
      <c r="E22" s="27"/>
      <c r="F22" s="181" t="str">
        <f>IF(ISBLANK(D20),"",IF(D20&gt;D24,B20,B24))</f>
        <v>Мандельштам Н.</v>
      </c>
      <c r="G22" s="180"/>
      <c r="H22" s="67">
        <v>4</v>
      </c>
      <c r="I22" s="25"/>
      <c r="M22" s="27"/>
    </row>
    <row r="23" spans="2:15" ht="15" customHeight="1">
      <c r="E23" s="27"/>
      <c r="I23" s="26"/>
      <c r="M23" s="27"/>
    </row>
    <row r="24" spans="2:15" ht="15" customHeight="1">
      <c r="B24" s="179" t="s">
        <v>58</v>
      </c>
      <c r="C24" s="180"/>
      <c r="D24" s="67">
        <v>13</v>
      </c>
      <c r="E24" s="28"/>
      <c r="I24" s="27"/>
      <c r="M24" s="27"/>
    </row>
    <row r="25" spans="2:15" ht="15" customHeight="1">
      <c r="I25" s="27"/>
      <c r="M25" s="27"/>
    </row>
    <row r="26" spans="2:15" ht="15" customHeight="1">
      <c r="G26" s="30" t="s">
        <v>11</v>
      </c>
      <c r="H26" s="31"/>
      <c r="I26" s="27"/>
      <c r="J26" s="181" t="str">
        <f>IF(ISBLANK(H22),"",IF(H22&gt;H30,F22,F30))</f>
        <v>Семченкова</v>
      </c>
      <c r="K26" s="180"/>
      <c r="L26" s="67">
        <v>13</v>
      </c>
      <c r="M26" s="28"/>
    </row>
    <row r="27" spans="2:15" ht="15" customHeight="1">
      <c r="I27" s="27"/>
    </row>
    <row r="28" spans="2:15" ht="15" customHeight="1">
      <c r="B28" s="179" t="s">
        <v>36</v>
      </c>
      <c r="C28" s="180"/>
      <c r="D28" s="67">
        <v>13</v>
      </c>
      <c r="E28" s="25"/>
      <c r="I28" s="27"/>
    </row>
    <row r="29" spans="2:15" ht="15" customHeight="1">
      <c r="E29" s="26"/>
      <c r="I29" s="27"/>
    </row>
    <row r="30" spans="2:15" ht="15" customHeight="1">
      <c r="B30" s="30" t="s">
        <v>11</v>
      </c>
      <c r="C30" s="31"/>
      <c r="E30" s="27"/>
      <c r="F30" s="181" t="str">
        <f>IF(ISBLANK(D28),"",IF(D28&gt;D32,B28,B32))</f>
        <v>Семченкова</v>
      </c>
      <c r="G30" s="180"/>
      <c r="H30" s="67">
        <v>13</v>
      </c>
      <c r="I30" s="28"/>
    </row>
    <row r="31" spans="2:15" ht="15" customHeight="1">
      <c r="E31" s="27"/>
    </row>
    <row r="32" spans="2:15" ht="15" customHeight="1">
      <c r="B32" s="179" t="s">
        <v>59</v>
      </c>
      <c r="C32" s="180"/>
      <c r="D32" s="67">
        <v>4</v>
      </c>
      <c r="E32" s="28"/>
    </row>
    <row r="36" spans="2:9" ht="15" customHeight="1">
      <c r="B36" s="179" t="str">
        <f>IF(ISBLANK(H6),"",IF(H6&gt;H14,F14,F6))</f>
        <v>Мандельштам Е.</v>
      </c>
      <c r="C36" s="180"/>
      <c r="D36" s="67">
        <v>13</v>
      </c>
      <c r="E36" s="25"/>
      <c r="F36" s="182"/>
      <c r="G36" s="182"/>
    </row>
    <row r="37" spans="2:9" ht="15" customHeight="1">
      <c r="E37" s="26"/>
    </row>
    <row r="38" spans="2:9" ht="15" customHeight="1">
      <c r="C38" s="30" t="s">
        <v>11</v>
      </c>
      <c r="E38" s="27"/>
      <c r="F38" s="181" t="str">
        <f>IF(ISBLANK(D36),"",IF(D36&gt;D40,B36,B40))</f>
        <v>Мандельштам Е.</v>
      </c>
      <c r="G38" s="179"/>
    </row>
    <row r="39" spans="2:9" ht="15" customHeight="1">
      <c r="E39" s="27"/>
    </row>
    <row r="40" spans="2:9" ht="15" customHeight="1">
      <c r="B40" s="179" t="str">
        <f>IF(ISBLANK(H22),"",IF(H22&gt;H30,F30,F22))</f>
        <v>Мандельштам Н.</v>
      </c>
      <c r="C40" s="180"/>
      <c r="D40" s="67">
        <v>12</v>
      </c>
      <c r="E40" s="28"/>
    </row>
    <row r="43" spans="2:9" ht="17.25" customHeight="1">
      <c r="B43" s="35"/>
      <c r="C43" s="44" t="s">
        <v>16</v>
      </c>
      <c r="D43" s="44"/>
      <c r="E43" s="44"/>
      <c r="F43"/>
      <c r="G43"/>
      <c r="H43"/>
      <c r="I43"/>
    </row>
    <row r="44" spans="2:9" ht="15" customHeight="1">
      <c r="B44" s="35"/>
      <c r="C44" s="44"/>
      <c r="D44" s="44"/>
      <c r="E44" s="44"/>
      <c r="F44"/>
      <c r="G44"/>
      <c r="H44"/>
      <c r="I44"/>
    </row>
    <row r="45" spans="2:9" ht="15" customHeight="1">
      <c r="B45" s="35"/>
      <c r="C45" s="44"/>
      <c r="D45" s="44"/>
      <c r="E45" s="44"/>
      <c r="F45"/>
      <c r="G45"/>
      <c r="H45"/>
      <c r="I45"/>
    </row>
    <row r="46" spans="2:9" ht="18" customHeight="1">
      <c r="B46" s="35"/>
      <c r="C46" s="44" t="s">
        <v>25</v>
      </c>
      <c r="D46" s="44"/>
      <c r="E46" s="44"/>
      <c r="F46"/>
      <c r="G46"/>
      <c r="H46"/>
      <c r="I46"/>
    </row>
  </sheetData>
  <mergeCells count="20">
    <mergeCell ref="F22:G22"/>
    <mergeCell ref="B16:C16"/>
    <mergeCell ref="F14:G14"/>
    <mergeCell ref="J26:K26"/>
    <mergeCell ref="B24:C24"/>
    <mergeCell ref="B20:C20"/>
    <mergeCell ref="B1:N1"/>
    <mergeCell ref="B4:C4"/>
    <mergeCell ref="F6:G6"/>
    <mergeCell ref="B8:C8"/>
    <mergeCell ref="B12:C12"/>
    <mergeCell ref="J10:K10"/>
    <mergeCell ref="N18:O18"/>
    <mergeCell ref="B40:C40"/>
    <mergeCell ref="B28:C28"/>
    <mergeCell ref="F30:G30"/>
    <mergeCell ref="B32:C32"/>
    <mergeCell ref="B36:C36"/>
    <mergeCell ref="F36:G36"/>
    <mergeCell ref="F38:G38"/>
  </mergeCells>
  <phoneticPr fontId="17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B1" sqref="B1:N1"/>
    </sheetView>
  </sheetViews>
  <sheetFormatPr defaultRowHeight="15" customHeight="1"/>
  <cols>
    <col min="1" max="1" width="9.140625" style="35"/>
    <col min="2" max="16384" width="9.140625" style="24"/>
  </cols>
  <sheetData>
    <row r="1" spans="2:14" ht="59.25" customHeight="1">
      <c r="B1" s="183" t="s">
        <v>60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5" customHeight="1">
      <c r="C2" s="31"/>
    </row>
    <row r="3" spans="2:14" ht="15" customHeight="1">
      <c r="C3" s="31"/>
    </row>
    <row r="4" spans="2:14" ht="15" customHeight="1">
      <c r="B4" s="179" t="s">
        <v>34</v>
      </c>
      <c r="C4" s="180"/>
      <c r="D4" s="67">
        <v>13</v>
      </c>
      <c r="E4" s="25"/>
    </row>
    <row r="5" spans="2:14" ht="15" customHeight="1">
      <c r="C5" s="31"/>
      <c r="E5" s="26"/>
    </row>
    <row r="6" spans="2:14" ht="15" customHeight="1">
      <c r="B6" s="30" t="s">
        <v>11</v>
      </c>
      <c r="C6" s="31"/>
      <c r="E6" s="27"/>
      <c r="F6" s="181" t="str">
        <f>IF(ISBLANK(D4),"",IF(D4&gt;D8,B4,B8))</f>
        <v>Румянцева</v>
      </c>
      <c r="G6" s="180"/>
      <c r="H6" s="67">
        <v>9</v>
      </c>
      <c r="I6" s="25"/>
    </row>
    <row r="7" spans="2:14" ht="15" customHeight="1">
      <c r="C7" s="31"/>
      <c r="E7" s="27"/>
      <c r="I7" s="26"/>
    </row>
    <row r="8" spans="2:14" ht="15" customHeight="1">
      <c r="B8" s="179" t="s">
        <v>35</v>
      </c>
      <c r="C8" s="180"/>
      <c r="D8" s="67">
        <v>5</v>
      </c>
      <c r="E8" s="28"/>
      <c r="I8" s="27"/>
    </row>
    <row r="9" spans="2:14" ht="15" customHeight="1">
      <c r="C9" s="31"/>
      <c r="I9" s="27"/>
    </row>
    <row r="10" spans="2:14" ht="15" customHeight="1">
      <c r="C10" s="31"/>
      <c r="G10" s="30" t="s">
        <v>11</v>
      </c>
      <c r="H10" s="31"/>
      <c r="I10" s="27"/>
      <c r="J10" s="181" t="str">
        <f>IF(ISBLANK(H6),"",IF(H6&gt;H14,F6,F14))</f>
        <v>Никонец</v>
      </c>
      <c r="K10" s="179"/>
      <c r="L10" s="34"/>
      <c r="M10" s="29"/>
    </row>
    <row r="11" spans="2:14" ht="15" customHeight="1">
      <c r="C11" s="31"/>
      <c r="I11" s="27"/>
      <c r="M11" s="29"/>
    </row>
    <row r="12" spans="2:14" ht="15" customHeight="1">
      <c r="B12" s="179" t="s">
        <v>57</v>
      </c>
      <c r="C12" s="180"/>
      <c r="D12" s="67">
        <v>8</v>
      </c>
      <c r="E12" s="25"/>
      <c r="I12" s="27"/>
      <c r="M12" s="29"/>
    </row>
    <row r="13" spans="2:14" ht="15" customHeight="1">
      <c r="C13" s="31"/>
      <c r="E13" s="26"/>
      <c r="I13" s="27"/>
      <c r="M13" s="29"/>
    </row>
    <row r="14" spans="2:14" ht="15" customHeight="1">
      <c r="B14" s="30" t="s">
        <v>11</v>
      </c>
      <c r="C14" s="31"/>
      <c r="E14" s="27"/>
      <c r="F14" s="181" t="str">
        <f>IF(ISBLANK(D12),"",IF(D12&gt;D16,B12,B16))</f>
        <v>Никонец</v>
      </c>
      <c r="G14" s="180"/>
      <c r="H14" s="67">
        <v>13</v>
      </c>
      <c r="I14" s="28"/>
      <c r="M14" s="29"/>
    </row>
    <row r="15" spans="2:14" ht="15" customHeight="1">
      <c r="E15" s="27"/>
      <c r="M15" s="29"/>
    </row>
    <row r="16" spans="2:14" ht="15" customHeight="1">
      <c r="B16" s="179" t="s">
        <v>59</v>
      </c>
      <c r="C16" s="180"/>
      <c r="D16" s="67">
        <v>13</v>
      </c>
      <c r="E16" s="28"/>
      <c r="M16" s="29"/>
    </row>
    <row r="17" spans="2:13" ht="15" customHeight="1">
      <c r="M17" s="29"/>
    </row>
    <row r="20" spans="2:13" ht="15" customHeight="1">
      <c r="B20" s="179" t="str">
        <f>IF(ISBLANK(D4),"",IF(D4&gt;D8,B8,B4))</f>
        <v>Потапова</v>
      </c>
      <c r="C20" s="180"/>
      <c r="D20" s="67">
        <v>13</v>
      </c>
      <c r="E20" s="25"/>
      <c r="F20" s="182"/>
      <c r="G20" s="182"/>
    </row>
    <row r="21" spans="2:13" ht="15" customHeight="1">
      <c r="E21" s="26"/>
    </row>
    <row r="22" spans="2:13" ht="15" customHeight="1">
      <c r="C22" s="30" t="s">
        <v>11</v>
      </c>
      <c r="E22" s="27"/>
      <c r="F22" s="181" t="str">
        <f>IF(ISBLANK(D20),"",IF(D20&gt;D24,B20,B24))</f>
        <v>Потапова</v>
      </c>
      <c r="G22" s="179"/>
    </row>
    <row r="23" spans="2:13" ht="15" customHeight="1">
      <c r="E23" s="27"/>
    </row>
    <row r="24" spans="2:13" ht="15" customHeight="1">
      <c r="B24" s="179" t="str">
        <f>IF(ISBLANK(D12),"",IF(D12&gt;D16,B16,B12))</f>
        <v>Попова</v>
      </c>
      <c r="C24" s="180"/>
      <c r="D24" s="67">
        <v>7</v>
      </c>
      <c r="E24" s="28"/>
    </row>
    <row r="27" spans="2:13" ht="16.5" customHeight="1">
      <c r="B27" s="35"/>
      <c r="C27" s="44" t="s">
        <v>16</v>
      </c>
      <c r="D27" s="44"/>
      <c r="E27" s="44"/>
      <c r="F27"/>
      <c r="G27"/>
      <c r="H27"/>
      <c r="I27"/>
    </row>
    <row r="28" spans="2:13" ht="15" customHeight="1">
      <c r="B28" s="35"/>
      <c r="C28" s="44"/>
      <c r="D28" s="44"/>
      <c r="E28" s="44"/>
      <c r="F28"/>
      <c r="G28"/>
      <c r="H28"/>
      <c r="I28"/>
    </row>
    <row r="29" spans="2:13" ht="15" customHeight="1">
      <c r="B29" s="35"/>
      <c r="C29" s="44"/>
      <c r="D29" s="44"/>
      <c r="E29" s="44"/>
      <c r="F29"/>
      <c r="G29"/>
      <c r="H29"/>
      <c r="I29"/>
    </row>
    <row r="30" spans="2:13" ht="18.75" customHeight="1">
      <c r="B30" s="35"/>
      <c r="C30" s="44" t="s">
        <v>25</v>
      </c>
      <c r="D30" s="44"/>
      <c r="E30" s="44"/>
      <c r="F30"/>
      <c r="G30"/>
      <c r="H30"/>
      <c r="I30"/>
    </row>
  </sheetData>
  <mergeCells count="12">
    <mergeCell ref="J10:K10"/>
    <mergeCell ref="B4:C4"/>
    <mergeCell ref="F6:G6"/>
    <mergeCell ref="B8:C8"/>
    <mergeCell ref="B1:N1"/>
    <mergeCell ref="B24:C24"/>
    <mergeCell ref="B20:C20"/>
    <mergeCell ref="F20:G20"/>
    <mergeCell ref="B12:C12"/>
    <mergeCell ref="F14:G14"/>
    <mergeCell ref="B16:C16"/>
    <mergeCell ref="F22:G2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B27" sqref="B27:J30"/>
    </sheetView>
  </sheetViews>
  <sheetFormatPr defaultRowHeight="15" customHeight="1"/>
  <cols>
    <col min="1" max="1" width="9.140625" style="35"/>
    <col min="2" max="16384" width="9.140625" style="24"/>
  </cols>
  <sheetData>
    <row r="1" spans="2:14" ht="59.25" customHeight="1">
      <c r="B1" s="183" t="s">
        <v>62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5" customHeight="1">
      <c r="C2" s="31"/>
    </row>
    <row r="3" spans="2:14" ht="15" customHeight="1">
      <c r="C3" s="31"/>
    </row>
    <row r="4" spans="2:14" ht="15" customHeight="1">
      <c r="B4" s="179" t="s">
        <v>65</v>
      </c>
      <c r="C4" s="180"/>
      <c r="D4" s="67">
        <v>7</v>
      </c>
      <c r="E4" s="25"/>
    </row>
    <row r="5" spans="2:14" ht="15" customHeight="1">
      <c r="C5" s="31"/>
      <c r="E5" s="26"/>
    </row>
    <row r="6" spans="2:14" ht="15" customHeight="1">
      <c r="B6" s="30" t="s">
        <v>11</v>
      </c>
      <c r="C6" s="31"/>
      <c r="E6" s="27"/>
      <c r="F6" s="181" t="str">
        <f>IF(ISBLANK(D4),"",IF(D4&gt;D8,B4,B8))</f>
        <v>Завалина</v>
      </c>
      <c r="G6" s="180"/>
      <c r="H6" s="67">
        <v>6</v>
      </c>
      <c r="I6" s="25"/>
    </row>
    <row r="7" spans="2:14" ht="15" customHeight="1">
      <c r="C7" s="31"/>
      <c r="E7" s="27"/>
      <c r="I7" s="26"/>
    </row>
    <row r="8" spans="2:14" ht="15" customHeight="1">
      <c r="B8" s="179" t="s">
        <v>64</v>
      </c>
      <c r="C8" s="180"/>
      <c r="D8" s="67">
        <v>13</v>
      </c>
      <c r="E8" s="28"/>
      <c r="I8" s="27"/>
    </row>
    <row r="9" spans="2:14" ht="15" customHeight="1">
      <c r="C9" s="31"/>
      <c r="I9" s="27"/>
    </row>
    <row r="10" spans="2:14" ht="15" customHeight="1">
      <c r="C10" s="31"/>
      <c r="G10" s="30" t="s">
        <v>11</v>
      </c>
      <c r="H10" s="31"/>
      <c r="I10" s="27"/>
      <c r="J10" s="181" t="str">
        <f>IF(ISBLANK(H6),"",IF(H6&gt;H14,F6,F14))</f>
        <v>Мельник</v>
      </c>
      <c r="K10" s="179"/>
      <c r="L10" s="34"/>
      <c r="M10" s="29"/>
    </row>
    <row r="11" spans="2:14" ht="15" customHeight="1">
      <c r="C11" s="31"/>
      <c r="I11" s="27"/>
      <c r="M11" s="29"/>
    </row>
    <row r="12" spans="2:14" ht="15" customHeight="1">
      <c r="B12" s="179" t="s">
        <v>63</v>
      </c>
      <c r="C12" s="180"/>
      <c r="D12" s="67">
        <v>13</v>
      </c>
      <c r="E12" s="25"/>
      <c r="I12" s="27"/>
      <c r="M12" s="29"/>
    </row>
    <row r="13" spans="2:14" ht="15" customHeight="1">
      <c r="C13" s="31"/>
      <c r="E13" s="26"/>
      <c r="I13" s="27"/>
      <c r="M13" s="29"/>
    </row>
    <row r="14" spans="2:14" ht="15" customHeight="1">
      <c r="B14" s="30" t="s">
        <v>11</v>
      </c>
      <c r="C14" s="31"/>
      <c r="E14" s="27"/>
      <c r="F14" s="181" t="str">
        <f>IF(ISBLANK(D12),"",IF(D12&gt;D16,B12,B16))</f>
        <v>Мельник</v>
      </c>
      <c r="G14" s="180"/>
      <c r="H14" s="67">
        <v>13</v>
      </c>
      <c r="I14" s="28"/>
      <c r="M14" s="29"/>
    </row>
    <row r="15" spans="2:14" ht="15" customHeight="1">
      <c r="E15" s="27"/>
      <c r="M15" s="29"/>
    </row>
    <row r="16" spans="2:14" ht="15" customHeight="1">
      <c r="B16" s="179" t="s">
        <v>66</v>
      </c>
      <c r="C16" s="180"/>
      <c r="D16" s="67">
        <v>7</v>
      </c>
      <c r="E16" s="28"/>
      <c r="M16" s="29"/>
    </row>
    <row r="17" spans="2:13" ht="15" customHeight="1">
      <c r="M17" s="29"/>
    </row>
    <row r="20" spans="2:13" ht="15" customHeight="1">
      <c r="B20" s="179" t="str">
        <f>IF(ISBLANK(D4),"",IF(D4&gt;D8,B8,B4))</f>
        <v>Заходякина</v>
      </c>
      <c r="C20" s="180"/>
      <c r="D20" s="67">
        <v>13</v>
      </c>
      <c r="E20" s="25"/>
      <c r="F20" s="182"/>
      <c r="G20" s="182"/>
    </row>
    <row r="21" spans="2:13" ht="15" customHeight="1">
      <c r="E21" s="26"/>
    </row>
    <row r="22" spans="2:13" ht="15" customHeight="1">
      <c r="C22" s="30" t="s">
        <v>11</v>
      </c>
      <c r="E22" s="27"/>
      <c r="F22" s="181" t="str">
        <f>IF(ISBLANK(D20),"",IF(D20&gt;D24,B20,B24))</f>
        <v>Заходякина</v>
      </c>
      <c r="G22" s="179"/>
    </row>
    <row r="23" spans="2:13" ht="15" customHeight="1">
      <c r="E23" s="27"/>
    </row>
    <row r="24" spans="2:13" ht="15" customHeight="1">
      <c r="B24" s="179" t="str">
        <f>IF(ISBLANK(D12),"",IF(D12&gt;D16,B16,B12))</f>
        <v xml:space="preserve"> </v>
      </c>
      <c r="C24" s="180"/>
      <c r="D24" s="67">
        <v>7</v>
      </c>
      <c r="E24" s="28"/>
    </row>
    <row r="27" spans="2:13" ht="16.5" customHeight="1">
      <c r="B27" s="35"/>
      <c r="C27" s="72" t="s">
        <v>16</v>
      </c>
      <c r="D27" s="72"/>
      <c r="E27" s="72"/>
      <c r="F27"/>
      <c r="G27"/>
      <c r="H27"/>
      <c r="I27"/>
    </row>
    <row r="28" spans="2:13" ht="15" customHeight="1">
      <c r="B28" s="35"/>
      <c r="C28" s="72"/>
      <c r="D28" s="72"/>
      <c r="E28" s="72"/>
      <c r="F28"/>
      <c r="G28"/>
      <c r="H28"/>
      <c r="I28"/>
    </row>
    <row r="29" spans="2:13" ht="15" customHeight="1">
      <c r="B29" s="35"/>
      <c r="C29" s="72"/>
      <c r="D29" s="72"/>
      <c r="E29" s="72"/>
      <c r="F29"/>
      <c r="G29"/>
      <c r="H29"/>
      <c r="I29"/>
    </row>
    <row r="30" spans="2:13" ht="18.75" customHeight="1">
      <c r="B30" s="35"/>
      <c r="C30" s="72" t="s">
        <v>25</v>
      </c>
      <c r="D30" s="72"/>
      <c r="E30" s="72"/>
      <c r="F30"/>
      <c r="G30"/>
      <c r="H30"/>
      <c r="I30"/>
    </row>
  </sheetData>
  <mergeCells count="12">
    <mergeCell ref="B16:C16"/>
    <mergeCell ref="F22:G22"/>
    <mergeCell ref="J10:K10"/>
    <mergeCell ref="B4:C4"/>
    <mergeCell ref="F6:G6"/>
    <mergeCell ref="B8:C8"/>
    <mergeCell ref="B1:N1"/>
    <mergeCell ref="B24:C24"/>
    <mergeCell ref="B20:C20"/>
    <mergeCell ref="F20:G20"/>
    <mergeCell ref="B12:C12"/>
    <mergeCell ref="F14:G14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tabSelected="1" zoomScaleNormal="100" workbookViewId="0">
      <selection activeCell="D16" sqref="D16"/>
    </sheetView>
  </sheetViews>
  <sheetFormatPr defaultRowHeight="15"/>
  <cols>
    <col min="2" max="2" width="23.7109375" customWidth="1"/>
    <col min="3" max="3" width="24.28515625" customWidth="1"/>
    <col min="4" max="4" width="36.7109375" customWidth="1"/>
  </cols>
  <sheetData>
    <row r="1" spans="1:11" ht="54" customHeight="1">
      <c r="A1" s="166" t="s">
        <v>17</v>
      </c>
      <c r="B1" s="166"/>
      <c r="C1" s="166"/>
      <c r="D1" s="166"/>
      <c r="E1" s="46"/>
      <c r="F1" s="46"/>
      <c r="G1" s="46"/>
      <c r="H1" s="46"/>
      <c r="I1" s="46"/>
      <c r="J1" s="46"/>
      <c r="K1" s="46"/>
    </row>
    <row r="2" spans="1:11" ht="102.75" customHeight="1">
      <c r="A2" s="167" t="s">
        <v>61</v>
      </c>
      <c r="B2" s="167"/>
      <c r="C2" s="167"/>
      <c r="D2" s="167"/>
      <c r="E2" s="47"/>
      <c r="F2" s="47"/>
      <c r="G2" s="48"/>
      <c r="H2" s="48"/>
      <c r="I2" s="48"/>
      <c r="J2" s="48"/>
    </row>
    <row r="3" spans="1:11" ht="15.75" thickBot="1"/>
    <row r="4" spans="1:11">
      <c r="A4" s="68" t="s">
        <v>18</v>
      </c>
      <c r="B4" s="69" t="s">
        <v>19</v>
      </c>
      <c r="C4" s="69" t="s">
        <v>20</v>
      </c>
      <c r="D4" s="73" t="s">
        <v>21</v>
      </c>
    </row>
    <row r="5" spans="1:11">
      <c r="A5" s="70">
        <v>1</v>
      </c>
      <c r="B5" s="54" t="s">
        <v>15</v>
      </c>
      <c r="C5" s="54" t="s">
        <v>24</v>
      </c>
      <c r="D5" s="74">
        <v>15</v>
      </c>
      <c r="F5" s="62"/>
      <c r="G5" s="62"/>
      <c r="H5" s="62"/>
      <c r="I5" s="62"/>
    </row>
    <row r="6" spans="1:11">
      <c r="A6" s="70">
        <v>2</v>
      </c>
      <c r="B6" s="128" t="s">
        <v>26</v>
      </c>
      <c r="C6" s="54" t="s">
        <v>22</v>
      </c>
      <c r="D6" s="74">
        <v>13</v>
      </c>
      <c r="F6" s="63"/>
      <c r="G6" s="62"/>
      <c r="H6" s="62"/>
      <c r="I6" s="62"/>
    </row>
    <row r="7" spans="1:11">
      <c r="A7" s="70">
        <v>3</v>
      </c>
      <c r="B7" s="54" t="s">
        <v>67</v>
      </c>
      <c r="C7" s="54" t="s">
        <v>44</v>
      </c>
      <c r="D7" s="74">
        <v>11</v>
      </c>
      <c r="F7" s="62"/>
      <c r="G7" s="62"/>
      <c r="H7" s="62"/>
      <c r="I7" s="62"/>
    </row>
    <row r="8" spans="1:11">
      <c r="A8" s="70">
        <v>4</v>
      </c>
      <c r="B8" s="54" t="s">
        <v>48</v>
      </c>
      <c r="C8" s="54" t="s">
        <v>44</v>
      </c>
      <c r="D8" s="74">
        <v>10</v>
      </c>
      <c r="F8" s="62"/>
      <c r="G8" s="62"/>
      <c r="H8" s="62"/>
      <c r="I8" s="62"/>
    </row>
    <row r="9" spans="1:11">
      <c r="A9" s="70">
        <v>5</v>
      </c>
      <c r="B9" s="128" t="s">
        <v>47</v>
      </c>
      <c r="C9" s="54" t="s">
        <v>68</v>
      </c>
      <c r="D9" s="74">
        <v>9</v>
      </c>
      <c r="F9" s="62"/>
      <c r="G9" s="62"/>
      <c r="H9" s="62"/>
      <c r="I9" s="62"/>
    </row>
    <row r="10" spans="1:11">
      <c r="A10" s="70">
        <v>6</v>
      </c>
      <c r="B10" s="54" t="s">
        <v>31</v>
      </c>
      <c r="C10" s="54" t="s">
        <v>28</v>
      </c>
      <c r="D10" s="74">
        <v>8</v>
      </c>
      <c r="F10" s="62"/>
      <c r="G10" s="62"/>
      <c r="H10" s="62"/>
      <c r="I10" s="62"/>
    </row>
    <row r="11" spans="1:11">
      <c r="A11" s="70">
        <v>7</v>
      </c>
      <c r="B11" s="54" t="s">
        <v>29</v>
      </c>
      <c r="C11" s="54" t="s">
        <v>28</v>
      </c>
      <c r="D11" s="74">
        <v>7</v>
      </c>
      <c r="F11" s="62"/>
      <c r="G11" s="62"/>
      <c r="H11" s="62"/>
      <c r="I11" s="62"/>
    </row>
    <row r="12" spans="1:11">
      <c r="A12" s="70">
        <v>8</v>
      </c>
      <c r="B12" s="54" t="s">
        <v>69</v>
      </c>
      <c r="C12" s="54" t="s">
        <v>44</v>
      </c>
      <c r="D12" s="74">
        <v>6</v>
      </c>
      <c r="F12" s="62"/>
      <c r="G12" s="62"/>
      <c r="H12" s="62"/>
      <c r="I12" s="62"/>
    </row>
    <row r="13" spans="1:11">
      <c r="A13" s="70">
        <v>9</v>
      </c>
      <c r="B13" s="128" t="s">
        <v>52</v>
      </c>
      <c r="C13" s="54" t="s">
        <v>30</v>
      </c>
      <c r="D13" s="74">
        <v>5</v>
      </c>
      <c r="F13" s="62"/>
      <c r="G13" s="62"/>
      <c r="H13" s="62"/>
      <c r="I13" s="62"/>
    </row>
    <row r="14" spans="1:11">
      <c r="A14" s="70">
        <v>10</v>
      </c>
      <c r="B14" s="54" t="s">
        <v>49</v>
      </c>
      <c r="C14" s="54" t="s">
        <v>44</v>
      </c>
      <c r="D14" s="74">
        <v>4</v>
      </c>
      <c r="F14" s="62"/>
      <c r="G14" s="62"/>
      <c r="H14" s="62"/>
      <c r="I14" s="62"/>
    </row>
    <row r="15" spans="1:11" ht="15.75" thickBot="1">
      <c r="A15" s="71">
        <v>11</v>
      </c>
      <c r="B15" s="58" t="s">
        <v>51</v>
      </c>
      <c r="C15" s="58" t="s">
        <v>28</v>
      </c>
      <c r="D15" s="75">
        <v>3</v>
      </c>
      <c r="F15" s="62"/>
      <c r="G15" s="62"/>
      <c r="H15" s="62"/>
      <c r="I15" s="62"/>
    </row>
    <row r="16" spans="1:11" ht="21">
      <c r="A16" s="35"/>
      <c r="B16" s="72"/>
      <c r="C16" s="72"/>
      <c r="D16" s="72"/>
      <c r="E16" s="72"/>
      <c r="F16" s="62"/>
      <c r="G16" s="62"/>
      <c r="H16" s="62"/>
      <c r="I16" s="62"/>
    </row>
    <row r="17" spans="1:9" ht="21">
      <c r="A17" s="35"/>
      <c r="B17" s="72" t="s">
        <v>16</v>
      </c>
      <c r="C17" s="72"/>
      <c r="D17" s="72"/>
      <c r="I17" s="24"/>
    </row>
    <row r="18" spans="1:9" ht="21">
      <c r="A18" s="35"/>
      <c r="B18" s="72"/>
      <c r="C18" s="72"/>
      <c r="D18" s="72"/>
      <c r="I18" s="24"/>
    </row>
    <row r="19" spans="1:9" ht="21">
      <c r="A19" s="35"/>
      <c r="B19" s="72"/>
      <c r="C19" s="72"/>
      <c r="D19" s="72"/>
      <c r="I19" s="24"/>
    </row>
    <row r="20" spans="1:9" ht="21">
      <c r="A20" s="35"/>
      <c r="B20" s="72" t="s">
        <v>25</v>
      </c>
      <c r="C20" s="72"/>
      <c r="D20" s="72"/>
      <c r="I20" s="24"/>
    </row>
    <row r="22" spans="1:9" ht="21">
      <c r="F22" s="72"/>
      <c r="G22" s="72"/>
      <c r="H22" s="38"/>
    </row>
    <row r="23" spans="1:9" ht="15" customHeight="1">
      <c r="F23" s="72"/>
      <c r="G23" s="72"/>
      <c r="H23" s="38"/>
    </row>
    <row r="24" spans="1:9" ht="15" customHeight="1">
      <c r="F24" s="72"/>
      <c r="G24" s="72"/>
      <c r="H24" s="38"/>
    </row>
    <row r="25" spans="1:9" ht="21">
      <c r="F25" s="72"/>
      <c r="G25" s="72"/>
      <c r="H25" s="38"/>
    </row>
    <row r="26" spans="1:9" ht="21">
      <c r="F26" s="72"/>
      <c r="G26" s="38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9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9" t="e">
        <f>#REF!&amp;#REF!</f>
        <v>#REF!</v>
      </c>
      <c r="J27" s="9" t="e">
        <f>#REF!&amp;#REF!</f>
        <v>#REF!</v>
      </c>
    </row>
    <row r="28" spans="9:28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9" t="e">
        <f>#REF!&amp;#REF!</f>
        <v>#REF!</v>
      </c>
      <c r="J44" s="9" t="e">
        <f>#REF!&amp;#REF!</f>
        <v>#REF!</v>
      </c>
    </row>
    <row r="45" spans="9:19">
      <c r="I45" s="9" t="e">
        <f>#REF!&amp;#REF!</f>
        <v>#REF!</v>
      </c>
      <c r="J45" s="9" t="e">
        <f>#REF!&amp;#REF!</f>
        <v>#REF!</v>
      </c>
    </row>
    <row r="46" spans="9:19">
      <c r="I46" s="9" t="e">
        <f>#REF!&amp;#REF!</f>
        <v>#REF!</v>
      </c>
      <c r="J46" s="9" t="e">
        <f>#REF!&amp;#REF!</f>
        <v>#REF!</v>
      </c>
    </row>
    <row r="48" spans="9:19">
      <c r="I48" s="9" t="e">
        <f>#REF!&amp;#REF!</f>
        <v>#REF!</v>
      </c>
      <c r="J48" s="9" t="e">
        <f>#REF!&amp;#REF!</f>
        <v>#REF!</v>
      </c>
    </row>
    <row r="49" spans="9:10">
      <c r="I49" s="9" t="e">
        <f>#REF!&amp;#REF!</f>
        <v>#REF!</v>
      </c>
      <c r="J49" s="9" t="e">
        <f>#REF!&amp;#REF!</f>
        <v>#REF!</v>
      </c>
    </row>
    <row r="50" spans="9:10">
      <c r="I50" s="9" t="e">
        <f>#REF!&amp;#REF!</f>
        <v>#REF!</v>
      </c>
      <c r="J50" s="9" t="e">
        <f>#REF!&amp;#REF!</f>
        <v>#REF!</v>
      </c>
    </row>
    <row r="51" spans="9:10">
      <c r="I51" s="9" t="e">
        <f>#REF!&amp;#REF!</f>
        <v>#REF!</v>
      </c>
      <c r="J51" s="9" t="e">
        <f>#REF!&amp;#REF!</f>
        <v>#REF!</v>
      </c>
    </row>
    <row r="52" spans="9:10">
      <c r="I52" s="9" t="e">
        <f>#REF!&amp;#REF!</f>
        <v>#REF!</v>
      </c>
      <c r="J52" s="9" t="e">
        <f>#REF!&amp;#REF!</f>
        <v>#REF!</v>
      </c>
    </row>
    <row r="54" spans="9:10">
      <c r="I54" s="9" t="e">
        <f>#REF!&amp;#REF!</f>
        <v>#REF!</v>
      </c>
      <c r="J54" s="9" t="e">
        <f>#REF!&amp;#REF!</f>
        <v>#REF!</v>
      </c>
    </row>
    <row r="55" spans="9:10">
      <c r="I55" s="9" t="e">
        <f>#REF!&amp;#REF!</f>
        <v>#REF!</v>
      </c>
      <c r="J55" s="9" t="e">
        <f>#REF!&amp;#REF!</f>
        <v>#REF!</v>
      </c>
    </row>
    <row r="56" spans="9:10">
      <c r="I56" s="9" t="e">
        <f>#REF!&amp;#REF!</f>
        <v>#REF!</v>
      </c>
      <c r="J56" s="9" t="e">
        <f>#REF!&amp;#REF!</f>
        <v>#REF!</v>
      </c>
    </row>
    <row r="57" spans="9:10">
      <c r="I57" s="9" t="e">
        <f>#REF!&amp;#REF!</f>
        <v>#REF!</v>
      </c>
      <c r="J57" s="9" t="e">
        <f>#REF!&amp;#REF!</f>
        <v>#REF!</v>
      </c>
    </row>
    <row r="58" spans="9:10">
      <c r="I58" s="9" t="e">
        <f>#REF!&amp;#REF!</f>
        <v>#REF!</v>
      </c>
      <c r="J58" s="9" t="e">
        <f>#REF!&amp;#REF!</f>
        <v>#REF!</v>
      </c>
    </row>
    <row r="60" spans="9:10">
      <c r="I60" s="9" t="e">
        <f>#REF!&amp;#REF!</f>
        <v>#REF!</v>
      </c>
      <c r="J60" s="9" t="e">
        <f>#REF!&amp;#REF!</f>
        <v>#REF!</v>
      </c>
    </row>
    <row r="61" spans="9:10">
      <c r="I61" s="9" t="e">
        <f>#REF!&amp;#REF!</f>
        <v>#REF!</v>
      </c>
      <c r="J61" s="9" t="e">
        <f>#REF!&amp;#REF!</f>
        <v>#REF!</v>
      </c>
    </row>
    <row r="62" spans="9:10">
      <c r="I62" s="9" t="e">
        <f>#REF!&amp;#REF!</f>
        <v>#REF!</v>
      </c>
      <c r="J62" s="9" t="e">
        <f>#REF!&amp;#REF!</f>
        <v>#REF!</v>
      </c>
    </row>
    <row r="63" spans="9:10">
      <c r="I63" s="9" t="e">
        <f>#REF!&amp;#REF!</f>
        <v>#REF!</v>
      </c>
      <c r="J63" s="9" t="e">
        <f>#REF!&amp;#REF!</f>
        <v>#REF!</v>
      </c>
    </row>
    <row r="67" spans="12:12">
      <c r="L67" t="s">
        <v>10</v>
      </c>
    </row>
  </sheetData>
  <sheetCalcPr fullCalcOnLoad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ОРТ Выборг муж</vt:lpstr>
      <vt:lpstr>Итоги ОРТ Выборг муж</vt:lpstr>
      <vt:lpstr>ОРТ Выборг группа А жен</vt:lpstr>
      <vt:lpstr>ОРТ Выборг группа В жен</vt:lpstr>
      <vt:lpstr>ОРТ Выборг кубок А жен</vt:lpstr>
      <vt:lpstr>ОРТ ВЫборг кубок В жен</vt:lpstr>
      <vt:lpstr>ОРТ ВЫборг кубок С жен</vt:lpstr>
      <vt:lpstr>Итоги ОРТ Выборг жен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2021-05-28T12:55:53Z</cp:lastPrinted>
  <dcterms:created xsi:type="dcterms:W3CDTF">2009-05-19T09:37:33Z</dcterms:created>
  <dcterms:modified xsi:type="dcterms:W3CDTF">2025-06-24T10:46:29Z</dcterms:modified>
</cp:coreProperties>
</file>