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5ca4dde4c7e9dd/Документы/"/>
    </mc:Choice>
  </mc:AlternateContent>
  <xr:revisionPtr revIDLastSave="33" documentId="8_{534748D7-F6C8-42F0-874C-32901B50B55E}" xr6:coauthVersionLast="47" xr6:coauthVersionMax="47" xr10:uidLastSave="{371315E1-4461-4CA5-B3E1-B5C9AB94FB62}"/>
  <bookViews>
    <workbookView xWindow="-120" yWindow="-120" windowWidth="51840" windowHeight="21120" activeTab="10" xr2:uid="{F158E184-501B-46AC-B589-D8C1FB08B4F1}"/>
  </bookViews>
  <sheets>
    <sheet name="Регистрация" sheetId="11" r:id="rId1"/>
    <sheet name="Группа А" sheetId="4" r:id="rId2"/>
    <sheet name="Группа В" sheetId="6" r:id="rId3"/>
    <sheet name="Группа С" sheetId="7" r:id="rId4"/>
    <sheet name="Лист5" sheetId="5" state="hidden" r:id="rId5"/>
    <sheet name="Кубок А триплеты" sheetId="8" r:id="rId6"/>
    <sheet name="Дуплеты женские" sheetId="1" r:id="rId7"/>
    <sheet name="Плей офф (ж)" sheetId="3" r:id="rId8"/>
    <sheet name="Группа А (м)" sheetId="9" r:id="rId9"/>
    <sheet name="Группа В (м)" sheetId="10" r:id="rId10"/>
    <sheet name="Плей офф (м)" sheetId="2" r:id="rId11"/>
  </sheets>
  <definedNames>
    <definedName name="_Hlk203748158" localSheetId="0">Регистрация!$A$5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0" l="1"/>
  <c r="I4" i="10"/>
  <c r="I5" i="10" s="1"/>
  <c r="H4" i="10"/>
  <c r="H5" i="10" s="1"/>
  <c r="I8" i="10"/>
  <c r="I9" i="10" s="1"/>
  <c r="G4" i="10"/>
  <c r="G5" i="10" s="1"/>
  <c r="C20" i="10"/>
  <c r="G8" i="10"/>
  <c r="G9" i="10" s="1"/>
  <c r="F8" i="10"/>
  <c r="F9" i="10" s="1"/>
  <c r="H16" i="10"/>
  <c r="C16" i="10"/>
  <c r="I6" i="10"/>
  <c r="I7" i="10" s="1"/>
  <c r="H6" i="10"/>
  <c r="H7" i="10" s="1"/>
  <c r="H10" i="10"/>
  <c r="H11" i="10" s="1"/>
  <c r="F6" i="10"/>
  <c r="F7" i="10" s="1"/>
  <c r="G10" i="10"/>
  <c r="G11" i="10" s="1"/>
  <c r="F10" i="10"/>
  <c r="F11" i="10" s="1"/>
  <c r="G4" i="9"/>
  <c r="H4" i="9"/>
  <c r="I4" i="9"/>
  <c r="G5" i="9"/>
  <c r="H5" i="9"/>
  <c r="I5" i="9"/>
  <c r="C21" i="10"/>
  <c r="H25" i="10"/>
  <c r="H17" i="10"/>
  <c r="H20" i="10"/>
  <c r="C25" i="10"/>
  <c r="C17" i="10"/>
  <c r="H21" i="10"/>
  <c r="C24" i="10"/>
  <c r="K11" i="10" l="1"/>
  <c r="J10" i="10"/>
  <c r="K7" i="10"/>
  <c r="J6" i="10"/>
  <c r="K9" i="10"/>
  <c r="J8" i="10"/>
  <c r="J4" i="10"/>
  <c r="K5" i="10"/>
  <c r="J4" i="9"/>
  <c r="K5" i="9"/>
  <c r="F6" i="9"/>
  <c r="H6" i="9"/>
  <c r="I6" i="9"/>
  <c r="F7" i="9"/>
  <c r="H7" i="9"/>
  <c r="I7" i="9"/>
  <c r="J6" i="9" l="1"/>
  <c r="K7" i="9"/>
  <c r="F8" i="9"/>
  <c r="G8" i="9"/>
  <c r="I8" i="9"/>
  <c r="F9" i="9"/>
  <c r="G9" i="9"/>
  <c r="I9" i="9"/>
  <c r="J8" i="9" l="1"/>
  <c r="K9" i="9"/>
  <c r="F10" i="9"/>
  <c r="G10" i="9"/>
  <c r="H10" i="9"/>
  <c r="F11" i="9"/>
  <c r="G11" i="9"/>
  <c r="H11" i="9"/>
  <c r="J10" i="9" l="1"/>
  <c r="K11" i="9"/>
  <c r="C16" i="9"/>
  <c r="H16" i="9"/>
  <c r="C17" i="9"/>
  <c r="H17" i="9"/>
  <c r="C20" i="9"/>
  <c r="H20" i="9"/>
  <c r="C21" i="9"/>
  <c r="H21" i="9"/>
  <c r="C24" i="9"/>
  <c r="H24" i="9"/>
  <c r="C25" i="9"/>
  <c r="H25" i="9"/>
  <c r="B40" i="8"/>
  <c r="F38" i="8"/>
  <c r="B36" i="8"/>
  <c r="F30" i="8"/>
  <c r="J26" i="8"/>
  <c r="F22" i="8"/>
  <c r="N18" i="8"/>
  <c r="F14" i="8"/>
  <c r="J10" i="8"/>
  <c r="F6" i="8"/>
  <c r="F10" i="7"/>
  <c r="I6" i="7"/>
  <c r="H6" i="7"/>
  <c r="H12" i="7"/>
  <c r="I8" i="7"/>
  <c r="I9" i="7" s="1"/>
  <c r="H31" i="7"/>
  <c r="C19" i="7"/>
  <c r="J6" i="7"/>
  <c r="H30" i="7"/>
  <c r="J8" i="7"/>
  <c r="F12" i="7"/>
  <c r="F13" i="7" s="1"/>
  <c r="C35" i="7"/>
  <c r="F8" i="7"/>
  <c r="H4" i="7"/>
  <c r="H5" i="7" s="1"/>
  <c r="H19" i="7"/>
  <c r="H13" i="7"/>
  <c r="F6" i="7"/>
  <c r="F7" i="7" s="1"/>
  <c r="J9" i="7"/>
  <c r="I12" i="7"/>
  <c r="I13" i="7" s="1"/>
  <c r="G12" i="7"/>
  <c r="G13" i="7" s="1"/>
  <c r="C27" i="7"/>
  <c r="G8" i="7"/>
  <c r="G9" i="7" s="1"/>
  <c r="J4" i="7"/>
  <c r="J5" i="7" s="1"/>
  <c r="I4" i="7"/>
  <c r="I5" i="7" s="1"/>
  <c r="G4" i="7"/>
  <c r="G5" i="7" s="1"/>
  <c r="J7" i="7"/>
  <c r="C22" i="7"/>
  <c r="J10" i="7"/>
  <c r="J11" i="7" s="1"/>
  <c r="H10" i="7"/>
  <c r="G10" i="7"/>
  <c r="G11" i="7" s="1"/>
  <c r="C34" i="7"/>
  <c r="F9" i="7"/>
  <c r="H27" i="7"/>
  <c r="C26" i="7"/>
  <c r="H23" i="7"/>
  <c r="H11" i="7"/>
  <c r="H22" i="7"/>
  <c r="F11" i="7"/>
  <c r="I7" i="7"/>
  <c r="H7" i="7"/>
  <c r="H18" i="7"/>
  <c r="C18" i="7"/>
  <c r="F10" i="6"/>
  <c r="I6" i="6"/>
  <c r="H6" i="6"/>
  <c r="F6" i="6"/>
  <c r="C34" i="6"/>
  <c r="H34" i="6"/>
  <c r="I4" i="6"/>
  <c r="H4" i="6"/>
  <c r="G4" i="6"/>
  <c r="F11" i="6"/>
  <c r="C18" i="6"/>
  <c r="J6" i="6"/>
  <c r="J7" i="6" s="1"/>
  <c r="C31" i="6"/>
  <c r="I5" i="6"/>
  <c r="J8" i="6"/>
  <c r="J9" i="6" s="1"/>
  <c r="C27" i="6"/>
  <c r="I8" i="6"/>
  <c r="I9" i="6" s="1"/>
  <c r="H19" i="6"/>
  <c r="J10" i="6"/>
  <c r="J11" i="6" s="1"/>
  <c r="H10" i="6"/>
  <c r="H11" i="6" s="1"/>
  <c r="H30" i="6"/>
  <c r="I12" i="6"/>
  <c r="I13" i="6" s="1"/>
  <c r="H12" i="6"/>
  <c r="H13" i="6" s="1"/>
  <c r="H5" i="6"/>
  <c r="G12" i="6"/>
  <c r="G13" i="6" s="1"/>
  <c r="G5" i="6"/>
  <c r="F12" i="6"/>
  <c r="F13" i="6" s="1"/>
  <c r="G8" i="6"/>
  <c r="G9" i="6" s="1"/>
  <c r="J4" i="6"/>
  <c r="J5" i="6" s="1"/>
  <c r="F8" i="6"/>
  <c r="F9" i="6" s="1"/>
  <c r="H23" i="6"/>
  <c r="I7" i="6"/>
  <c r="H7" i="6"/>
  <c r="F7" i="6"/>
  <c r="G10" i="6"/>
  <c r="G11" i="6" s="1"/>
  <c r="G4" i="4"/>
  <c r="H4" i="4"/>
  <c r="I4" i="4"/>
  <c r="J4" i="4"/>
  <c r="G5" i="4"/>
  <c r="H5" i="4"/>
  <c r="I5" i="4"/>
  <c r="J5" i="4"/>
  <c r="H27" i="6"/>
  <c r="H18" i="6"/>
  <c r="C22" i="6"/>
  <c r="C35" i="6"/>
  <c r="C23" i="6"/>
  <c r="H26" i="6"/>
  <c r="C30" i="6"/>
  <c r="H35" i="6"/>
  <c r="C26" i="6"/>
  <c r="C19" i="6"/>
  <c r="H22" i="6"/>
  <c r="H31" i="6"/>
  <c r="C23" i="7"/>
  <c r="C30" i="7"/>
  <c r="H26" i="7"/>
  <c r="H35" i="7"/>
  <c r="H34" i="7"/>
  <c r="C31" i="7"/>
  <c r="L11" i="7" l="1"/>
  <c r="K10" i="7"/>
  <c r="L9" i="7"/>
  <c r="K8" i="7"/>
  <c r="L5" i="7"/>
  <c r="K4" i="7"/>
  <c r="K6" i="7"/>
  <c r="L7" i="7"/>
  <c r="L13" i="7"/>
  <c r="K12" i="7"/>
  <c r="L7" i="6"/>
  <c r="K6" i="6"/>
  <c r="L9" i="6"/>
  <c r="K8" i="6"/>
  <c r="L13" i="6"/>
  <c r="K12" i="6"/>
  <c r="L5" i="6"/>
  <c r="K4" i="6"/>
  <c r="K10" i="6"/>
  <c r="L11" i="6"/>
  <c r="K4" i="4"/>
  <c r="L5" i="4"/>
  <c r="F6" i="4"/>
  <c r="H6" i="4"/>
  <c r="I6" i="4"/>
  <c r="J6" i="4"/>
  <c r="F7" i="4"/>
  <c r="H7" i="4"/>
  <c r="I7" i="4"/>
  <c r="J7" i="4"/>
  <c r="K6" i="4" l="1"/>
  <c r="L7" i="4"/>
  <c r="F8" i="4"/>
  <c r="G8" i="4"/>
  <c r="I8" i="4"/>
  <c r="J8" i="4"/>
  <c r="F9" i="4"/>
  <c r="G9" i="4"/>
  <c r="I9" i="4"/>
  <c r="J9" i="4"/>
  <c r="K8" i="4" l="1"/>
  <c r="L9" i="4"/>
  <c r="F10" i="4"/>
  <c r="G10" i="4"/>
  <c r="H10" i="4"/>
  <c r="J10" i="4"/>
  <c r="F11" i="4"/>
  <c r="G11" i="4"/>
  <c r="H11" i="4"/>
  <c r="J11" i="4"/>
  <c r="K10" i="4" l="1"/>
  <c r="L11" i="4"/>
  <c r="F12" i="4"/>
  <c r="G12" i="4"/>
  <c r="H12" i="4"/>
  <c r="I12" i="4"/>
  <c r="F13" i="4"/>
  <c r="G13" i="4"/>
  <c r="H13" i="4"/>
  <c r="I13" i="4"/>
  <c r="K12" i="4" l="1"/>
  <c r="L13" i="4"/>
  <c r="C18" i="4"/>
  <c r="H18" i="4"/>
  <c r="C19" i="4"/>
  <c r="H19" i="4"/>
  <c r="C22" i="4"/>
  <c r="H22" i="4"/>
  <c r="C23" i="4"/>
  <c r="H23" i="4"/>
  <c r="C26" i="4"/>
  <c r="H26" i="4"/>
  <c r="C27" i="4"/>
  <c r="H27" i="4"/>
  <c r="C30" i="4"/>
  <c r="H30" i="4"/>
  <c r="C31" i="4"/>
  <c r="H31" i="4"/>
  <c r="C34" i="4"/>
  <c r="H34" i="4"/>
  <c r="C35" i="4"/>
  <c r="H35" i="4"/>
  <c r="F6" i="3"/>
  <c r="J10" i="3"/>
  <c r="F14" i="3"/>
  <c r="B20" i="3"/>
  <c r="F22" i="3"/>
  <c r="B24" i="3"/>
  <c r="F6" i="2"/>
  <c r="J10" i="2"/>
  <c r="F14" i="2"/>
  <c r="N18" i="2"/>
  <c r="F22" i="2"/>
  <c r="J26" i="2"/>
  <c r="F30" i="2"/>
  <c r="B36" i="2"/>
  <c r="F38" i="2"/>
  <c r="B40" i="2"/>
  <c r="G14" i="1"/>
  <c r="F8" i="1"/>
  <c r="K4" i="1"/>
  <c r="K10" i="1"/>
  <c r="J4" i="1"/>
  <c r="H10" i="1"/>
  <c r="G10" i="1"/>
  <c r="G11" i="1" s="1"/>
  <c r="H42" i="1"/>
  <c r="K12" i="1"/>
  <c r="K13" i="1" s="1"/>
  <c r="F6" i="1"/>
  <c r="F9" i="1"/>
  <c r="K8" i="1"/>
  <c r="K11" i="1"/>
  <c r="C27" i="1"/>
  <c r="F14" i="1"/>
  <c r="F15" i="1" s="1"/>
  <c r="J10" i="1"/>
  <c r="I4" i="1"/>
  <c r="H4" i="1"/>
  <c r="H5" i="1" s="1"/>
  <c r="F7" i="1"/>
  <c r="C36" i="1"/>
  <c r="J6" i="1"/>
  <c r="J7" i="1" s="1"/>
  <c r="H12" i="1"/>
  <c r="H6" i="1"/>
  <c r="H7" i="1" s="1"/>
  <c r="G12" i="1"/>
  <c r="G13" i="1" s="1"/>
  <c r="H31" i="1"/>
  <c r="J11" i="1"/>
  <c r="H11" i="1"/>
  <c r="C22" i="1"/>
  <c r="H13" i="1"/>
  <c r="G4" i="1"/>
  <c r="G5" i="1" s="1"/>
  <c r="C20" i="1"/>
  <c r="K6" i="1"/>
  <c r="K7" i="1" s="1"/>
  <c r="K9" i="1"/>
  <c r="I12" i="1"/>
  <c r="I13" i="1" s="1"/>
  <c r="G15" i="1"/>
  <c r="J14" i="1"/>
  <c r="J15" i="1" s="1"/>
  <c r="J5" i="1"/>
  <c r="I8" i="1"/>
  <c r="H14" i="1"/>
  <c r="H15" i="1" s="1"/>
  <c r="C41" i="1"/>
  <c r="F10" i="1"/>
  <c r="F11" i="1" s="1"/>
  <c r="H20" i="1"/>
  <c r="H35" i="1"/>
  <c r="C35" i="1"/>
  <c r="I6" i="1"/>
  <c r="I7" i="1" s="1"/>
  <c r="I9" i="1"/>
  <c r="F12" i="1"/>
  <c r="F13" i="1" s="1"/>
  <c r="C31" i="1"/>
  <c r="H30" i="1"/>
  <c r="K5" i="1"/>
  <c r="J8" i="1"/>
  <c r="J9" i="1" s="1"/>
  <c r="I14" i="1"/>
  <c r="I15" i="1" s="1"/>
  <c r="I5" i="1"/>
  <c r="G8" i="1"/>
  <c r="G9" i="1" s="1"/>
  <c r="H37" i="1"/>
  <c r="C40" i="1"/>
  <c r="H26" i="1"/>
  <c r="H21" i="1"/>
  <c r="C26" i="1"/>
  <c r="C42" i="1"/>
  <c r="H32" i="1"/>
  <c r="H40" i="1"/>
  <c r="C25" i="1"/>
  <c r="H36" i="1"/>
  <c r="H22" i="1"/>
  <c r="H25" i="1"/>
  <c r="C32" i="1"/>
  <c r="C21" i="1"/>
  <c r="H41" i="1"/>
  <c r="C30" i="1"/>
  <c r="C37" i="1"/>
  <c r="H27" i="1"/>
  <c r="M13" i="1" l="1"/>
  <c r="L12" i="1"/>
  <c r="L10" i="1"/>
  <c r="M11" i="1"/>
  <c r="L4" i="1"/>
  <c r="M5" i="1"/>
  <c r="M7" i="1"/>
  <c r="L6" i="1"/>
  <c r="L14" i="1"/>
  <c r="M15" i="1"/>
  <c r="L8" i="1"/>
  <c r="M9" i="1"/>
</calcChain>
</file>

<file path=xl/sharedStrings.xml><?xml version="1.0" encoding="utf-8"?>
<sst xmlns="http://schemas.openxmlformats.org/spreadsheetml/2006/main" count="274" uniqueCount="77">
  <si>
    <t>Команда</t>
  </si>
  <si>
    <t>победы</t>
  </si>
  <si>
    <t>доп</t>
  </si>
  <si>
    <t>место</t>
  </si>
  <si>
    <t/>
  </si>
  <si>
    <t>Тур 1</t>
  </si>
  <si>
    <t>дор.</t>
  </si>
  <si>
    <t>Тур 2</t>
  </si>
  <si>
    <t>Тур 3</t>
  </si>
  <si>
    <t>Тур 4</t>
  </si>
  <si>
    <t>Тур 5</t>
  </si>
  <si>
    <t>группа А</t>
  </si>
  <si>
    <t>Гаджиев</t>
  </si>
  <si>
    <t>Лукьянова</t>
  </si>
  <si>
    <t>Сутырин</t>
  </si>
  <si>
    <t>Филатов</t>
  </si>
  <si>
    <t>Горячев</t>
  </si>
  <si>
    <t>группа В</t>
  </si>
  <si>
    <t>Воробьёва</t>
  </si>
  <si>
    <t>Воронов</t>
  </si>
  <si>
    <t>Новиков</t>
  </si>
  <si>
    <t>Полякова</t>
  </si>
  <si>
    <t>Комаров</t>
  </si>
  <si>
    <t>Алкина</t>
  </si>
  <si>
    <t>Тихонов</t>
  </si>
  <si>
    <t>Павлова</t>
  </si>
  <si>
    <t>Глуховский</t>
  </si>
  <si>
    <t>Волков</t>
  </si>
  <si>
    <t>группа С</t>
  </si>
  <si>
    <t>Кубок А (триплеты)</t>
  </si>
  <si>
    <t>Савченко</t>
  </si>
  <si>
    <t>Кайтукова</t>
  </si>
  <si>
    <t>Куканова</t>
  </si>
  <si>
    <t>Трофимова</t>
  </si>
  <si>
    <t>Тюрина</t>
  </si>
  <si>
    <t>дуплеты (м) группа А</t>
  </si>
  <si>
    <t>Франк</t>
  </si>
  <si>
    <t>Петраков</t>
  </si>
  <si>
    <t>дуплеты (м) группа В</t>
  </si>
  <si>
    <t>Ли</t>
  </si>
  <si>
    <t>Поляков</t>
  </si>
  <si>
    <t>Папоян</t>
  </si>
  <si>
    <t>Тарасов</t>
  </si>
  <si>
    <t>дуплеты (м) Кубок А</t>
  </si>
  <si>
    <t>1. Павлова, Каргашин, Базарев 106</t>
  </si>
  <si>
    <t>2. Воронов, Вахрушев, Трофимов (Александр) 173</t>
  </si>
  <si>
    <t>3. Кайтукова, Новиков, Козлов 47</t>
  </si>
  <si>
    <t>4. Воробьева, Дубовицкая, Савченко 220</t>
  </si>
  <si>
    <t>5. Алкина, Артюхина, Бирюкова, Хафизова 213</t>
  </si>
  <si>
    <t>6. Лукьянова, Коппа, Шапкин 150</t>
  </si>
  <si>
    <t>7. Глуховский, Сизова, Франк 16</t>
  </si>
  <si>
    <t>8. Сутырин, Татьянц, Мыльцева 0</t>
  </si>
  <si>
    <t>9. Тихонов, Бейгер, Ли 180</t>
  </si>
  <si>
    <t>10. Филатов, Агапов, Поляков (Алексей) 103</t>
  </si>
  <si>
    <t>11. Гаджиев, Денисов, Дубовицкий 224</t>
  </si>
  <si>
    <t>12. Волков, Карасев, Педченко 46</t>
  </si>
  <si>
    <t>13. Полякова, Трофимов (Денис), Трофимова 85</t>
  </si>
  <si>
    <t>14. Комаров, Ницинский, Петраков, Поломаренко 68</t>
  </si>
  <si>
    <t>15. Горячев, Проценко, Доможилова 0</t>
  </si>
  <si>
    <t>ДУПЛЕТЫ:</t>
  </si>
  <si>
    <t>Мужчины</t>
  </si>
  <si>
    <t>1. Ли, Базарев 70</t>
  </si>
  <si>
    <t>2. Воронов, Вахрушев 153</t>
  </si>
  <si>
    <t>3. Глуховский А., Франк Н. 16</t>
  </si>
  <si>
    <t>4. Ницинский, Петраков 23</t>
  </si>
  <si>
    <t>5. Тарасов К., Кравцов В. 76</t>
  </si>
  <si>
    <t>6. Вдовенко В., Поляков Алексей 62</t>
  </si>
  <si>
    <t>7. Кузьмин, Папоян 0</t>
  </si>
  <si>
    <t>8. Новиков П., Козлов П. 29</t>
  </si>
  <si>
    <t>Женщины</t>
  </si>
  <si>
    <t>1. Савченко Е., Дубовицкая О. 145</t>
  </si>
  <si>
    <t xml:space="preserve">2. Березнеговская, Павлова. 94 </t>
  </si>
  <si>
    <t>3. Кайтукова.Ф, Смирнова И. 18</t>
  </si>
  <si>
    <t>4. Владимирова Светлана и Куканова Алла 0</t>
  </si>
  <si>
    <t>5. Трофимова, Полякова 85</t>
  </si>
  <si>
    <t>6. Тюрина Трушина 6</t>
  </si>
  <si>
    <t>Триплеты: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</si>
</sst>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#;\-##;0"/>
    <numFmt numFmtId="165" formatCode="\+##;\-##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36"/>
      <color indexed="8"/>
      <name val="Calibri Light"/>
      <family val="1"/>
      <charset val="204"/>
      <scheme val="maj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165" fontId="4" fillId="2" borderId="20" xfId="0" applyNumberFormat="1" applyFont="1" applyFill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 indent="1"/>
    </xf>
    <xf numFmtId="0" fontId="3" fillId="0" borderId="28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 indent="1"/>
    </xf>
    <xf numFmtId="164" fontId="4" fillId="0" borderId="30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65" fontId="4" fillId="2" borderId="3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0" fillId="0" borderId="40" xfId="0" applyBorder="1" applyAlignment="1">
      <alignment vertical="center"/>
    </xf>
    <xf numFmtId="0" fontId="7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 wrapText="1" indent="1"/>
    </xf>
    <xf numFmtId="0" fontId="3" fillId="3" borderId="18" xfId="0" applyFont="1" applyFill="1" applyBorder="1" applyAlignment="1">
      <alignment horizontal="left" vertical="center" wrapText="1" indent="1"/>
    </xf>
    <xf numFmtId="0" fontId="3" fillId="3" borderId="19" xfId="0" applyFont="1" applyFill="1" applyBorder="1" applyAlignment="1">
      <alignment horizontal="left" vertical="center" wrapText="1" inden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164" fontId="4" fillId="3" borderId="21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center" vertical="center"/>
    </xf>
    <xf numFmtId="165" fontId="4" fillId="3" borderId="21" xfId="0" applyNumberFormat="1" applyFont="1" applyFill="1" applyBorder="1" applyAlignment="1">
      <alignment horizontal="center" vertical="center"/>
    </xf>
    <xf numFmtId="164" fontId="4" fillId="3" borderId="22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 indent="1"/>
    </xf>
    <xf numFmtId="0" fontId="3" fillId="3" borderId="10" xfId="0" applyFont="1" applyFill="1" applyBorder="1" applyAlignment="1">
      <alignment horizontal="left" vertical="center" wrapText="1" indent="1"/>
    </xf>
    <xf numFmtId="0" fontId="3" fillId="3" borderId="11" xfId="0" applyFont="1" applyFill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4" fillId="3" borderId="20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 wrapText="1" indent="1"/>
    </xf>
    <xf numFmtId="0" fontId="3" fillId="3" borderId="28" xfId="0" applyFont="1" applyFill="1" applyBorder="1" applyAlignment="1">
      <alignment horizontal="left" vertical="center" wrapText="1" indent="1"/>
    </xf>
    <xf numFmtId="0" fontId="3" fillId="3" borderId="29" xfId="0" applyFont="1" applyFill="1" applyBorder="1" applyAlignment="1">
      <alignment horizontal="left" vertical="center" wrapText="1" indent="1"/>
    </xf>
    <xf numFmtId="164" fontId="4" fillId="3" borderId="30" xfId="0" applyNumberFormat="1" applyFont="1" applyFill="1" applyBorder="1" applyAlignment="1">
      <alignment horizontal="center" vertical="center"/>
    </xf>
    <xf numFmtId="164" fontId="4" fillId="3" borderId="31" xfId="0" applyNumberFormat="1" applyFont="1" applyFill="1" applyBorder="1" applyAlignment="1">
      <alignment horizontal="center" vertical="center"/>
    </xf>
    <xf numFmtId="165" fontId="4" fillId="3" borderId="32" xfId="0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 wrapText="1" indent="1"/>
    </xf>
    <xf numFmtId="0" fontId="3" fillId="4" borderId="18" xfId="0" applyFont="1" applyFill="1" applyBorder="1" applyAlignment="1">
      <alignment horizontal="left" vertical="center" wrapText="1" indent="1"/>
    </xf>
    <xf numFmtId="0" fontId="3" fillId="4" borderId="19" xfId="0" applyFont="1" applyFill="1" applyBorder="1" applyAlignment="1">
      <alignment horizontal="left" vertical="center" wrapText="1" indent="1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165" fontId="4" fillId="4" borderId="21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3" borderId="1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1278-5202-4509-A0B4-C7515A68EA90}">
  <dimension ref="A1:A36"/>
  <sheetViews>
    <sheetView workbookViewId="0">
      <selection activeCell="E21" sqref="E21"/>
    </sheetView>
  </sheetViews>
  <sheetFormatPr defaultRowHeight="15" x14ac:dyDescent="0.25"/>
  <sheetData>
    <row r="1" spans="1:1" x14ac:dyDescent="0.25">
      <c r="A1" s="120" t="s">
        <v>76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9" spans="1:1" x14ac:dyDescent="0.25">
      <c r="A19" s="120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459EC-A413-4C21-8ABA-929E294F024B}">
  <sheetPr>
    <pageSetUpPr fitToPage="1"/>
  </sheetPr>
  <dimension ref="A1:M35"/>
  <sheetViews>
    <sheetView topLeftCell="A7" workbookViewId="0">
      <selection activeCell="B10" sqref="B10:M11"/>
    </sheetView>
  </sheetViews>
  <sheetFormatPr defaultRowHeight="15" x14ac:dyDescent="0.25"/>
  <cols>
    <col min="1" max="1" width="4" style="52" customWidth="1"/>
    <col min="2" max="12" width="10.28515625" customWidth="1"/>
    <col min="13" max="13" width="10.28515625" style="64" customWidth="1"/>
    <col min="14" max="15" width="10.28515625" customWidth="1"/>
  </cols>
  <sheetData>
    <row r="1" spans="2:13" ht="59.25" customHeight="1" x14ac:dyDescent="0.25">
      <c r="B1" s="1" t="s">
        <v>11</v>
      </c>
      <c r="C1" s="1"/>
      <c r="D1" s="1"/>
      <c r="E1" s="1"/>
      <c r="F1" s="1"/>
      <c r="G1" s="1"/>
      <c r="H1" s="1"/>
      <c r="I1" s="1"/>
      <c r="J1" s="1"/>
      <c r="K1" s="1"/>
      <c r="M1"/>
    </row>
    <row r="2" spans="2:13" ht="15.75" thickBot="1" x14ac:dyDescent="0.3">
      <c r="M2"/>
    </row>
    <row r="3" spans="2:13" ht="30" customHeight="1" thickBot="1" x14ac:dyDescent="0.3">
      <c r="B3" s="2"/>
      <c r="C3" s="3" t="s">
        <v>0</v>
      </c>
      <c r="D3" s="4"/>
      <c r="E3" s="5"/>
      <c r="F3" s="6">
        <v>1</v>
      </c>
      <c r="G3" s="6">
        <v>2</v>
      </c>
      <c r="H3" s="6">
        <v>3</v>
      </c>
      <c r="I3" s="7">
        <v>4</v>
      </c>
      <c r="J3" s="7">
        <v>5</v>
      </c>
      <c r="K3" s="2" t="s">
        <v>1</v>
      </c>
      <c r="L3" s="6" t="s">
        <v>2</v>
      </c>
      <c r="M3" s="71" t="s">
        <v>3</v>
      </c>
    </row>
    <row r="4" spans="2:13" ht="24" customHeight="1" x14ac:dyDescent="0.25">
      <c r="B4" s="10">
        <v>1</v>
      </c>
      <c r="C4" s="11" t="s">
        <v>12</v>
      </c>
      <c r="D4" s="12"/>
      <c r="E4" s="13"/>
      <c r="F4" s="14" t="s">
        <v>4</v>
      </c>
      <c r="G4" s="15" t="str">
        <f ca="1">INDIRECT(ADDRESS(23,6))&amp;":"&amp;INDIRECT(ADDRESS(23,7))</f>
        <v>10:12</v>
      </c>
      <c r="H4" s="15" t="str">
        <f ca="1">INDIRECT(ADDRESS(26,7))&amp;":"&amp;INDIRECT(ADDRESS(26,6))</f>
        <v>5:13</v>
      </c>
      <c r="I4" s="15" t="str">
        <f ca="1">INDIRECT(ADDRESS(30,6))&amp;":"&amp;INDIRECT(ADDRESS(30,7))</f>
        <v>4:13</v>
      </c>
      <c r="J4" s="16" t="str">
        <f ca="1">INDIRECT(ADDRESS(35,7))&amp;":"&amp;INDIRECT(ADDRESS(35,6))</f>
        <v>13:1</v>
      </c>
      <c r="K4" s="70">
        <f ca="1">IF(COUNT(F5:J5)=0,"",COUNTIF(F5:J5,"&gt;0")+0.5*COUNTIF(F5:J5,0))</f>
        <v>1</v>
      </c>
      <c r="L4" s="17"/>
      <c r="M4" s="69">
        <v>5</v>
      </c>
    </row>
    <row r="5" spans="2:13" ht="24" customHeight="1" x14ac:dyDescent="0.25">
      <c r="B5" s="18"/>
      <c r="C5" s="19"/>
      <c r="D5" s="20"/>
      <c r="E5" s="21"/>
      <c r="F5" s="22" t="s">
        <v>4</v>
      </c>
      <c r="G5" s="23">
        <f ca="1">IF(LEN(INDIRECT(ADDRESS(ROW()-1, COLUMN())))=1,"",INDIRECT(ADDRESS(23,6))-INDIRECT(ADDRESS(23,7)))</f>
        <v>-2</v>
      </c>
      <c r="H5" s="23">
        <f ca="1">IF(LEN(INDIRECT(ADDRESS(ROW()-1, COLUMN())))=1,"",INDIRECT(ADDRESS(26,7))-INDIRECT(ADDRESS(26,6)))</f>
        <v>-8</v>
      </c>
      <c r="I5" s="23">
        <f ca="1">IF(LEN(INDIRECT(ADDRESS(ROW()-1, COLUMN())))=1,"",INDIRECT(ADDRESS(30,6))-INDIRECT(ADDRESS(30,7)))</f>
        <v>-9</v>
      </c>
      <c r="J5" s="24">
        <f ca="1">IF(LEN(INDIRECT(ADDRESS(ROW()-1, COLUMN())))=1,"",INDIRECT(ADDRESS(35,7))-INDIRECT(ADDRESS(35,6)))</f>
        <v>12</v>
      </c>
      <c r="K5" s="68"/>
      <c r="L5" s="23">
        <f ca="1">IF(COUNT(F5:J5)=0,"",SUM(F5:J5))</f>
        <v>-7</v>
      </c>
      <c r="M5" s="67"/>
    </row>
    <row r="6" spans="2:13" ht="24" customHeight="1" x14ac:dyDescent="0.25">
      <c r="B6" s="72">
        <v>2</v>
      </c>
      <c r="C6" s="73" t="s">
        <v>13</v>
      </c>
      <c r="D6" s="74"/>
      <c r="E6" s="75"/>
      <c r="F6" s="76" t="str">
        <f ca="1">INDIRECT(ADDRESS(23,7))&amp;":"&amp;INDIRECT(ADDRESS(23,6))</f>
        <v>12:10</v>
      </c>
      <c r="G6" s="77" t="s">
        <v>4</v>
      </c>
      <c r="H6" s="77" t="str">
        <f ca="1">INDIRECT(ADDRESS(31,6))&amp;":"&amp;INDIRECT(ADDRESS(31,7))</f>
        <v>12:11</v>
      </c>
      <c r="I6" s="77" t="str">
        <f ca="1">INDIRECT(ADDRESS(34,7))&amp;":"&amp;INDIRECT(ADDRESS(34,6))</f>
        <v>13:10</v>
      </c>
      <c r="J6" s="78" t="str">
        <f ca="1">INDIRECT(ADDRESS(18,6))&amp;":"&amp;INDIRECT(ADDRESS(18,7))</f>
        <v>13:5</v>
      </c>
      <c r="K6" s="79">
        <f ca="1">IF(COUNT(F7:J7)=0,"",COUNTIF(F7:J7,"&gt;0")+0.5*COUNTIF(F7:J7,0))</f>
        <v>4</v>
      </c>
      <c r="L6" s="80"/>
      <c r="M6" s="81">
        <v>1</v>
      </c>
    </row>
    <row r="7" spans="2:13" ht="24" customHeight="1" x14ac:dyDescent="0.25">
      <c r="B7" s="82"/>
      <c r="C7" s="73"/>
      <c r="D7" s="74"/>
      <c r="E7" s="75"/>
      <c r="F7" s="83">
        <f ca="1">IF(LEN(INDIRECT(ADDRESS(ROW()-1, COLUMN())))=1,"",INDIRECT(ADDRESS(23,7))-INDIRECT(ADDRESS(23,6)))</f>
        <v>2</v>
      </c>
      <c r="G7" s="84" t="s">
        <v>4</v>
      </c>
      <c r="H7" s="80">
        <f ca="1">IF(LEN(INDIRECT(ADDRESS(ROW()-1, COLUMN())))=1,"",INDIRECT(ADDRESS(31,6))-INDIRECT(ADDRESS(31,7)))</f>
        <v>1</v>
      </c>
      <c r="I7" s="80">
        <f ca="1">IF(LEN(INDIRECT(ADDRESS(ROW()-1, COLUMN())))=1,"",INDIRECT(ADDRESS(34,7))-INDIRECT(ADDRESS(34,6)))</f>
        <v>3</v>
      </c>
      <c r="J7" s="85">
        <f ca="1">IF(LEN(INDIRECT(ADDRESS(ROW()-1, COLUMN())))=1,"",INDIRECT(ADDRESS(18,6))-INDIRECT(ADDRESS(18,7)))</f>
        <v>8</v>
      </c>
      <c r="K7" s="79"/>
      <c r="L7" s="80">
        <f ca="1">IF(COUNT(F7:J7)=0,"",SUM(F7:J7))</f>
        <v>14</v>
      </c>
      <c r="M7" s="81"/>
    </row>
    <row r="8" spans="2:13" ht="24" customHeight="1" x14ac:dyDescent="0.25">
      <c r="B8" s="27">
        <v>3</v>
      </c>
      <c r="C8" s="19" t="s">
        <v>14</v>
      </c>
      <c r="D8" s="20"/>
      <c r="E8" s="21"/>
      <c r="F8" s="28" t="str">
        <f ca="1">INDIRECT(ADDRESS(26,6))&amp;":"&amp;INDIRECT(ADDRESS(26,7))</f>
        <v>13:5</v>
      </c>
      <c r="G8" s="30" t="str">
        <f ca="1">INDIRECT(ADDRESS(31,7))&amp;":"&amp;INDIRECT(ADDRESS(31,6))</f>
        <v>11:12</v>
      </c>
      <c r="H8" s="29" t="s">
        <v>4</v>
      </c>
      <c r="I8" s="30" t="str">
        <f ca="1">INDIRECT(ADDRESS(19,6))&amp;":"&amp;INDIRECT(ADDRESS(19,7))</f>
        <v>6:13</v>
      </c>
      <c r="J8" s="31" t="str">
        <f ca="1">INDIRECT(ADDRESS(22,7))&amp;":"&amp;INDIRECT(ADDRESS(22,6))</f>
        <v>6:13</v>
      </c>
      <c r="K8" s="68">
        <f ca="1">IF(COUNT(F9:J9)=0,"",COUNTIF(F9:J9,"&gt;0")+0.5*COUNTIF(F9:J9,0))</f>
        <v>1</v>
      </c>
      <c r="L8" s="23"/>
      <c r="M8" s="67">
        <v>4</v>
      </c>
    </row>
    <row r="9" spans="2:13" ht="24" customHeight="1" x14ac:dyDescent="0.25">
      <c r="B9" s="18"/>
      <c r="C9" s="19"/>
      <c r="D9" s="20"/>
      <c r="E9" s="21"/>
      <c r="F9" s="33">
        <f ca="1">IF(LEN(INDIRECT(ADDRESS(ROW()-1, COLUMN())))=1,"",INDIRECT(ADDRESS(26,6))-INDIRECT(ADDRESS(26,7)))</f>
        <v>8</v>
      </c>
      <c r="G9" s="23">
        <f ca="1">IF(LEN(INDIRECT(ADDRESS(ROW()-1, COLUMN())))=1,"",INDIRECT(ADDRESS(31,7))-INDIRECT(ADDRESS(31,6)))</f>
        <v>-1</v>
      </c>
      <c r="H9" s="34" t="s">
        <v>4</v>
      </c>
      <c r="I9" s="23">
        <f ca="1">IF(LEN(INDIRECT(ADDRESS(ROW()-1, COLUMN())))=1,"",INDIRECT(ADDRESS(19,6))-INDIRECT(ADDRESS(19,7)))</f>
        <v>-7</v>
      </c>
      <c r="J9" s="24">
        <f ca="1">IF(LEN(INDIRECT(ADDRESS(ROW()-1, COLUMN())))=1,"",INDIRECT(ADDRESS(22,7))-INDIRECT(ADDRESS(22,6)))</f>
        <v>-7</v>
      </c>
      <c r="K9" s="68"/>
      <c r="L9" s="23">
        <f ca="1">IF(COUNT(F9:J9)=0,"",SUM(F9:J9))</f>
        <v>-7</v>
      </c>
      <c r="M9" s="67"/>
    </row>
    <row r="10" spans="2:13" ht="24" customHeight="1" x14ac:dyDescent="0.25">
      <c r="B10" s="106">
        <v>4</v>
      </c>
      <c r="C10" s="107" t="s">
        <v>15</v>
      </c>
      <c r="D10" s="108"/>
      <c r="E10" s="109"/>
      <c r="F10" s="110" t="str">
        <f ca="1">INDIRECT(ADDRESS(30,7))&amp;":"&amp;INDIRECT(ADDRESS(30,6))</f>
        <v>13:4</v>
      </c>
      <c r="G10" s="111" t="str">
        <f ca="1">INDIRECT(ADDRESS(34,6))&amp;":"&amp;INDIRECT(ADDRESS(34,7))</f>
        <v>10:13</v>
      </c>
      <c r="H10" s="111" t="str">
        <f ca="1">INDIRECT(ADDRESS(19,7))&amp;":"&amp;INDIRECT(ADDRESS(19,6))</f>
        <v>13:6</v>
      </c>
      <c r="I10" s="111" t="s">
        <v>4</v>
      </c>
      <c r="J10" s="112" t="str">
        <f ca="1">INDIRECT(ADDRESS(27,6))&amp;":"&amp;INDIRECT(ADDRESS(27,7))</f>
        <v>7:13</v>
      </c>
      <c r="K10" s="113">
        <f ca="1">IF(COUNT(F11:J11)=0,"",COUNTIF(F11:J11,"&gt;0")+0.5*COUNTIF(F11:J11,0))</f>
        <v>2</v>
      </c>
      <c r="L10" s="114"/>
      <c r="M10" s="115">
        <v>3</v>
      </c>
    </row>
    <row r="11" spans="2:13" ht="24" customHeight="1" x14ac:dyDescent="0.25">
      <c r="B11" s="116"/>
      <c r="C11" s="107"/>
      <c r="D11" s="108"/>
      <c r="E11" s="109"/>
      <c r="F11" s="117">
        <f ca="1">IF(LEN(INDIRECT(ADDRESS(ROW()-1, COLUMN())))=1,"",INDIRECT(ADDRESS(30,7))-INDIRECT(ADDRESS(30,6)))</f>
        <v>9</v>
      </c>
      <c r="G11" s="114">
        <f ca="1">IF(LEN(INDIRECT(ADDRESS(ROW()-1, COLUMN())))=1,"",INDIRECT(ADDRESS(34,6))-INDIRECT(ADDRESS(34,7)))</f>
        <v>-3</v>
      </c>
      <c r="H11" s="114">
        <f ca="1">IF(LEN(INDIRECT(ADDRESS(ROW()-1, COLUMN())))=1,"",INDIRECT(ADDRESS(19,7))-INDIRECT(ADDRESS(19,6)))</f>
        <v>7</v>
      </c>
      <c r="I11" s="118" t="s">
        <v>4</v>
      </c>
      <c r="J11" s="119">
        <f ca="1">IF(LEN(INDIRECT(ADDRESS(ROW()-1, COLUMN())))=1,"",INDIRECT(ADDRESS(27,6))-INDIRECT(ADDRESS(27,7)))</f>
        <v>-6</v>
      </c>
      <c r="K11" s="113"/>
      <c r="L11" s="114">
        <f ca="1">IF(COUNT(F11:J11)=0,"",SUM(F11:J11))</f>
        <v>7</v>
      </c>
      <c r="M11" s="115"/>
    </row>
    <row r="12" spans="2:13" ht="24" customHeight="1" x14ac:dyDescent="0.25">
      <c r="B12" s="72">
        <v>5</v>
      </c>
      <c r="C12" s="73" t="s">
        <v>16</v>
      </c>
      <c r="D12" s="74"/>
      <c r="E12" s="75"/>
      <c r="F12" s="76" t="str">
        <f ca="1">INDIRECT(ADDRESS(35,6))&amp;":"&amp;INDIRECT(ADDRESS(35,7))</f>
        <v>1:13</v>
      </c>
      <c r="G12" s="77" t="str">
        <f ca="1">INDIRECT(ADDRESS(18,7))&amp;":"&amp;INDIRECT(ADDRESS(18,6))</f>
        <v>5:13</v>
      </c>
      <c r="H12" s="77" t="str">
        <f ca="1">INDIRECT(ADDRESS(22,6))&amp;":"&amp;INDIRECT(ADDRESS(22,7))</f>
        <v>13:6</v>
      </c>
      <c r="I12" s="77" t="str">
        <f ca="1">INDIRECT(ADDRESS(27,7))&amp;":"&amp;INDIRECT(ADDRESS(27,6))</f>
        <v>13:7</v>
      </c>
      <c r="J12" s="78" t="s">
        <v>4</v>
      </c>
      <c r="K12" s="79">
        <f ca="1">IF(COUNT(F13:J13)=0,"",COUNTIF(F13:J13,"&gt;0")+0.5*COUNTIF(F13:J13,0))</f>
        <v>2</v>
      </c>
      <c r="L12" s="80"/>
      <c r="M12" s="81">
        <v>2</v>
      </c>
    </row>
    <row r="13" spans="2:13" ht="24" customHeight="1" thickBot="1" x14ac:dyDescent="0.3">
      <c r="B13" s="97"/>
      <c r="C13" s="98"/>
      <c r="D13" s="99"/>
      <c r="E13" s="100"/>
      <c r="F13" s="101">
        <f ca="1">IF(LEN(INDIRECT(ADDRESS(ROW()-1, COLUMN())))=1,"",INDIRECT(ADDRESS(35,6))-INDIRECT(ADDRESS(35,7)))</f>
        <v>-12</v>
      </c>
      <c r="G13" s="102">
        <f ca="1">IF(LEN(INDIRECT(ADDRESS(ROW()-1, COLUMN())))=1,"",INDIRECT(ADDRESS(18,7))-INDIRECT(ADDRESS(18,6)))</f>
        <v>-8</v>
      </c>
      <c r="H13" s="102">
        <f ca="1">IF(LEN(INDIRECT(ADDRESS(ROW()-1, COLUMN())))=1,"",INDIRECT(ADDRESS(22,6))-INDIRECT(ADDRESS(22,7)))</f>
        <v>7</v>
      </c>
      <c r="I13" s="102">
        <f ca="1">IF(LEN(INDIRECT(ADDRESS(ROW()-1, COLUMN())))=1,"",INDIRECT(ADDRESS(27,7))-INDIRECT(ADDRESS(27,6)))</f>
        <v>6</v>
      </c>
      <c r="J13" s="103" t="s">
        <v>4</v>
      </c>
      <c r="K13" s="104"/>
      <c r="L13" s="102">
        <f ca="1">IF(COUNT(F13:J13)=0,"",SUM(F13:J13))</f>
        <v>-7</v>
      </c>
      <c r="M13" s="105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2:13" ht="30" customHeight="1" thickBot="1" x14ac:dyDescent="0.3">
      <c r="B17" s="43" t="s">
        <v>5</v>
      </c>
      <c r="C17" s="43"/>
      <c r="D17" s="43"/>
      <c r="E17" s="43"/>
      <c r="F17" s="43"/>
      <c r="G17" s="43"/>
      <c r="H17" s="43"/>
      <c r="I17" s="43"/>
      <c r="J17" s="43"/>
      <c r="K17" s="43"/>
    </row>
    <row r="18" spans="2:13" ht="30" customHeight="1" thickBot="1" x14ac:dyDescent="0.3">
      <c r="B18" s="44">
        <v>2</v>
      </c>
      <c r="C18" s="45" t="str">
        <f ca="1">IF(ISBLANK(INDIRECT(ADDRESS(B18*2+2,3))),"",INDIRECT(ADDRESS(B18*2+2,3)))</f>
        <v>Лукьянова</v>
      </c>
      <c r="D18" s="45"/>
      <c r="E18" s="46"/>
      <c r="F18" s="47">
        <v>13</v>
      </c>
      <c r="G18" s="48">
        <v>5</v>
      </c>
      <c r="H18" s="49" t="str">
        <f ca="1">IF(ISBLANK(INDIRECT(ADDRESS(K18*2+2,3))),"",INDIRECT(ADDRESS(K18*2+2,3)))</f>
        <v>Горячев</v>
      </c>
      <c r="I18" s="45"/>
      <c r="J18" s="45"/>
      <c r="K18" s="44">
        <v>5</v>
      </c>
      <c r="L18" s="50" t="s">
        <v>6</v>
      </c>
      <c r="M18" s="52"/>
    </row>
    <row r="19" spans="2:13" ht="30" customHeight="1" thickBot="1" x14ac:dyDescent="0.3">
      <c r="B19" s="44">
        <v>3</v>
      </c>
      <c r="C19" s="45" t="str">
        <f ca="1">IF(ISBLANK(INDIRECT(ADDRESS(B19*2+2,3))),"",INDIRECT(ADDRESS(B19*2+2,3)))</f>
        <v>Сутырин</v>
      </c>
      <c r="D19" s="45"/>
      <c r="E19" s="46"/>
      <c r="F19" s="47">
        <v>6</v>
      </c>
      <c r="G19" s="48">
        <v>13</v>
      </c>
      <c r="H19" s="49" t="str">
        <f ca="1">IF(ISBLANK(INDIRECT(ADDRESS(K19*2+2,3))),"",INDIRECT(ADDRESS(K19*2+2,3)))</f>
        <v>Филатов</v>
      </c>
      <c r="I19" s="45"/>
      <c r="J19" s="45"/>
      <c r="K19" s="44">
        <v>4</v>
      </c>
      <c r="L19" s="50" t="s">
        <v>6</v>
      </c>
      <c r="M19" s="52"/>
    </row>
    <row r="20" spans="2:13" ht="30" customHeight="1" x14ac:dyDescent="0.25">
      <c r="M20" s="44"/>
    </row>
    <row r="21" spans="2:13" ht="30" customHeight="1" thickBot="1" x14ac:dyDescent="0.3">
      <c r="B21" s="43" t="s">
        <v>7</v>
      </c>
      <c r="C21" s="43"/>
      <c r="D21" s="43"/>
      <c r="E21" s="43"/>
      <c r="F21" s="43"/>
      <c r="G21" s="43"/>
      <c r="H21" s="43"/>
      <c r="I21" s="43"/>
      <c r="J21" s="43"/>
      <c r="K21" s="43"/>
      <c r="M21" s="44"/>
    </row>
    <row r="22" spans="2:13" ht="30" customHeight="1" thickBot="1" x14ac:dyDescent="0.3">
      <c r="B22" s="44">
        <v>5</v>
      </c>
      <c r="C22" s="45" t="str">
        <f ca="1">IF(ISBLANK(INDIRECT(ADDRESS(B22*2+2,3))),"",INDIRECT(ADDRESS(B22*2+2,3)))</f>
        <v>Горячев</v>
      </c>
      <c r="D22" s="45"/>
      <c r="E22" s="46"/>
      <c r="F22" s="47">
        <v>13</v>
      </c>
      <c r="G22" s="48">
        <v>6</v>
      </c>
      <c r="H22" s="49" t="str">
        <f ca="1">IF(ISBLANK(INDIRECT(ADDRESS(K22*2+2,3))),"",INDIRECT(ADDRESS(K22*2+2,3)))</f>
        <v>Сутырин</v>
      </c>
      <c r="I22" s="45"/>
      <c r="J22" s="45"/>
      <c r="K22" s="44">
        <v>3</v>
      </c>
      <c r="L22" s="50" t="s">
        <v>6</v>
      </c>
      <c r="M22" s="52"/>
    </row>
    <row r="23" spans="2:13" ht="30" customHeight="1" thickBot="1" x14ac:dyDescent="0.3">
      <c r="B23" s="44">
        <v>1</v>
      </c>
      <c r="C23" s="45" t="str">
        <f ca="1">IF(ISBLANK(INDIRECT(ADDRESS(B23*2+2,3))),"",INDIRECT(ADDRESS(B23*2+2,3)))</f>
        <v>Гаджиев</v>
      </c>
      <c r="D23" s="45"/>
      <c r="E23" s="46"/>
      <c r="F23" s="47">
        <v>10</v>
      </c>
      <c r="G23" s="48">
        <v>12</v>
      </c>
      <c r="H23" s="49" t="str">
        <f ca="1">IF(ISBLANK(INDIRECT(ADDRESS(K23*2+2,3))),"",INDIRECT(ADDRESS(K23*2+2,3)))</f>
        <v>Лукьянова</v>
      </c>
      <c r="I23" s="45"/>
      <c r="J23" s="45"/>
      <c r="K23" s="44">
        <v>2</v>
      </c>
      <c r="L23" s="50" t="s">
        <v>6</v>
      </c>
      <c r="M23" s="52"/>
    </row>
    <row r="24" spans="2:13" ht="30" customHeight="1" x14ac:dyDescent="0.25">
      <c r="M24" s="44"/>
    </row>
    <row r="25" spans="2:13" ht="30" customHeight="1" thickBot="1" x14ac:dyDescent="0.3">
      <c r="B25" s="43" t="s">
        <v>8</v>
      </c>
      <c r="C25" s="43"/>
      <c r="D25" s="43"/>
      <c r="E25" s="43"/>
      <c r="F25" s="43"/>
      <c r="G25" s="43"/>
      <c r="H25" s="43"/>
      <c r="I25" s="43"/>
      <c r="J25" s="43"/>
      <c r="K25" s="43"/>
      <c r="M25" s="44"/>
    </row>
    <row r="26" spans="2:13" ht="30" customHeight="1" thickBot="1" x14ac:dyDescent="0.3">
      <c r="B26" s="44">
        <v>3</v>
      </c>
      <c r="C26" s="45" t="str">
        <f ca="1">IF(ISBLANK(INDIRECT(ADDRESS(B26*2+2,3))),"",INDIRECT(ADDRESS(B26*2+2,3)))</f>
        <v>Сутырин</v>
      </c>
      <c r="D26" s="45"/>
      <c r="E26" s="46"/>
      <c r="F26" s="47">
        <v>13</v>
      </c>
      <c r="G26" s="48">
        <v>5</v>
      </c>
      <c r="H26" s="49" t="str">
        <f ca="1">IF(ISBLANK(INDIRECT(ADDRESS(K26*2+2,3))),"",INDIRECT(ADDRESS(K26*2+2,3)))</f>
        <v>Гаджиев</v>
      </c>
      <c r="I26" s="45"/>
      <c r="J26" s="45"/>
      <c r="K26" s="44">
        <v>1</v>
      </c>
      <c r="L26" s="50" t="s">
        <v>6</v>
      </c>
      <c r="M26" s="52"/>
    </row>
    <row r="27" spans="2:13" ht="30" customHeight="1" thickBot="1" x14ac:dyDescent="0.3">
      <c r="B27" s="44">
        <v>4</v>
      </c>
      <c r="C27" s="45" t="str">
        <f ca="1">IF(ISBLANK(INDIRECT(ADDRESS(B27*2+2,3))),"",INDIRECT(ADDRESS(B27*2+2,3)))</f>
        <v>Филатов</v>
      </c>
      <c r="D27" s="45"/>
      <c r="E27" s="46"/>
      <c r="F27" s="47">
        <v>7</v>
      </c>
      <c r="G27" s="48">
        <v>13</v>
      </c>
      <c r="H27" s="49" t="str">
        <f ca="1">IF(ISBLANK(INDIRECT(ADDRESS(K27*2+2,3))),"",INDIRECT(ADDRESS(K27*2+2,3)))</f>
        <v>Горячев</v>
      </c>
      <c r="I27" s="45"/>
      <c r="J27" s="45"/>
      <c r="K27" s="44">
        <v>5</v>
      </c>
      <c r="L27" s="50" t="s">
        <v>6</v>
      </c>
      <c r="M27" s="52"/>
    </row>
    <row r="28" spans="2:13" ht="30" customHeight="1" x14ac:dyDescent="0.25">
      <c r="M28" s="44"/>
    </row>
    <row r="29" spans="2:13" ht="30" customHeight="1" thickBot="1" x14ac:dyDescent="0.3">
      <c r="B29" s="43" t="s">
        <v>9</v>
      </c>
      <c r="C29" s="43"/>
      <c r="D29" s="43"/>
      <c r="E29" s="43"/>
      <c r="F29" s="43"/>
      <c r="G29" s="43"/>
      <c r="H29" s="43"/>
      <c r="I29" s="43"/>
      <c r="J29" s="43"/>
      <c r="K29" s="43"/>
      <c r="M29" s="44"/>
    </row>
    <row r="30" spans="2:13" ht="30" customHeight="1" thickBot="1" x14ac:dyDescent="0.3">
      <c r="B30" s="44">
        <v>1</v>
      </c>
      <c r="C30" s="45" t="str">
        <f ca="1">IF(ISBLANK(INDIRECT(ADDRESS(B30*2+2,3))),"",INDIRECT(ADDRESS(B30*2+2,3)))</f>
        <v>Гаджиев</v>
      </c>
      <c r="D30" s="45"/>
      <c r="E30" s="46"/>
      <c r="F30" s="47">
        <v>4</v>
      </c>
      <c r="G30" s="48">
        <v>13</v>
      </c>
      <c r="H30" s="49" t="str">
        <f ca="1">IF(ISBLANK(INDIRECT(ADDRESS(K30*2+2,3))),"",INDIRECT(ADDRESS(K30*2+2,3)))</f>
        <v>Филатов</v>
      </c>
      <c r="I30" s="45"/>
      <c r="J30" s="45"/>
      <c r="K30" s="44">
        <v>4</v>
      </c>
      <c r="L30" s="50" t="s">
        <v>6</v>
      </c>
      <c r="M30" s="52"/>
    </row>
    <row r="31" spans="2:13" ht="30" customHeight="1" thickBot="1" x14ac:dyDescent="0.3">
      <c r="B31" s="44">
        <v>2</v>
      </c>
      <c r="C31" s="45" t="str">
        <f ca="1">IF(ISBLANK(INDIRECT(ADDRESS(B31*2+2,3))),"",INDIRECT(ADDRESS(B31*2+2,3)))</f>
        <v>Лукьянова</v>
      </c>
      <c r="D31" s="45"/>
      <c r="E31" s="46"/>
      <c r="F31" s="47">
        <v>12</v>
      </c>
      <c r="G31" s="48">
        <v>11</v>
      </c>
      <c r="H31" s="49" t="str">
        <f ca="1">IF(ISBLANK(INDIRECT(ADDRESS(K31*2+2,3))),"",INDIRECT(ADDRESS(K31*2+2,3)))</f>
        <v>Сутырин</v>
      </c>
      <c r="I31" s="45"/>
      <c r="J31" s="45"/>
      <c r="K31" s="44">
        <v>3</v>
      </c>
      <c r="L31" s="50" t="s">
        <v>6</v>
      </c>
      <c r="M31" s="52"/>
    </row>
    <row r="32" spans="2:13" ht="30" customHeight="1" x14ac:dyDescent="0.25">
      <c r="M32" s="44"/>
    </row>
    <row r="33" spans="2:13" ht="30" customHeight="1" thickBot="1" x14ac:dyDescent="0.3">
      <c r="B33" s="43" t="s">
        <v>10</v>
      </c>
      <c r="C33" s="43"/>
      <c r="D33" s="43"/>
      <c r="E33" s="43"/>
      <c r="F33" s="43"/>
      <c r="G33" s="43"/>
      <c r="H33" s="43"/>
      <c r="I33" s="43"/>
      <c r="J33" s="43"/>
      <c r="K33" s="43"/>
      <c r="M33" s="44"/>
    </row>
    <row r="34" spans="2:13" ht="30" customHeight="1" thickBot="1" x14ac:dyDescent="0.3">
      <c r="B34" s="44">
        <v>4</v>
      </c>
      <c r="C34" s="45" t="str">
        <f ca="1">IF(ISBLANK(INDIRECT(ADDRESS(B34*2+2,3))),"",INDIRECT(ADDRESS(B34*2+2,3)))</f>
        <v>Филатов</v>
      </c>
      <c r="D34" s="45"/>
      <c r="E34" s="46"/>
      <c r="F34" s="47">
        <v>10</v>
      </c>
      <c r="G34" s="48">
        <v>13</v>
      </c>
      <c r="H34" s="49" t="str">
        <f ca="1">IF(ISBLANK(INDIRECT(ADDRESS(K34*2+2,3))),"",INDIRECT(ADDRESS(K34*2+2,3)))</f>
        <v>Лукьянова</v>
      </c>
      <c r="I34" s="45"/>
      <c r="J34" s="45"/>
      <c r="K34" s="44">
        <v>2</v>
      </c>
      <c r="L34" s="50" t="s">
        <v>6</v>
      </c>
      <c r="M34" s="52"/>
    </row>
    <row r="35" spans="2:13" ht="30" customHeight="1" thickBot="1" x14ac:dyDescent="0.3">
      <c r="B35" s="44">
        <v>5</v>
      </c>
      <c r="C35" s="45" t="str">
        <f ca="1">IF(ISBLANK(INDIRECT(ADDRESS(B35*2+2,3))),"",INDIRECT(ADDRESS(B35*2+2,3)))</f>
        <v>Горячев</v>
      </c>
      <c r="D35" s="45"/>
      <c r="E35" s="46"/>
      <c r="F35" s="47">
        <v>1</v>
      </c>
      <c r="G35" s="48">
        <v>13</v>
      </c>
      <c r="H35" s="49" t="str">
        <f ca="1">IF(ISBLANK(INDIRECT(ADDRESS(K35*2+2,3))),"",INDIRECT(ADDRESS(K35*2+2,3)))</f>
        <v>Гаджиев</v>
      </c>
      <c r="I35" s="45"/>
      <c r="J35" s="45"/>
      <c r="K35" s="44">
        <v>1</v>
      </c>
      <c r="L35" s="50" t="s">
        <v>6</v>
      </c>
      <c r="M35" s="52"/>
    </row>
  </sheetData>
  <mergeCells count="47">
    <mergeCell ref="C3:E3"/>
    <mergeCell ref="B4:B5"/>
    <mergeCell ref="C4:E5"/>
    <mergeCell ref="K4:K5"/>
    <mergeCell ref="M4:M5"/>
    <mergeCell ref="M8:M9"/>
    <mergeCell ref="B10:B11"/>
    <mergeCell ref="C10:E11"/>
    <mergeCell ref="K10:K11"/>
    <mergeCell ref="M10:M11"/>
    <mergeCell ref="B1:K1"/>
    <mergeCell ref="B6:B7"/>
    <mergeCell ref="C6:E7"/>
    <mergeCell ref="K6:K7"/>
    <mergeCell ref="M6:M7"/>
    <mergeCell ref="B8:B9"/>
    <mergeCell ref="C8:E9"/>
    <mergeCell ref="K8:K9"/>
    <mergeCell ref="B12:B13"/>
    <mergeCell ref="C12:E13"/>
    <mergeCell ref="K12:K13"/>
    <mergeCell ref="B25:K25"/>
    <mergeCell ref="C26:E26"/>
    <mergeCell ref="H26:J26"/>
    <mergeCell ref="C27:E27"/>
    <mergeCell ref="H27:J27"/>
    <mergeCell ref="C18:E18"/>
    <mergeCell ref="H18:J18"/>
    <mergeCell ref="M12:M13"/>
    <mergeCell ref="B17:K17"/>
    <mergeCell ref="B29:K29"/>
    <mergeCell ref="C19:E19"/>
    <mergeCell ref="H19:J19"/>
    <mergeCell ref="B21:K21"/>
    <mergeCell ref="C22:E22"/>
    <mergeCell ref="H22:J22"/>
    <mergeCell ref="C23:E23"/>
    <mergeCell ref="H23:J23"/>
    <mergeCell ref="C35:E35"/>
    <mergeCell ref="H35:J35"/>
    <mergeCell ref="C30:E30"/>
    <mergeCell ref="H30:J30"/>
    <mergeCell ref="C31:E31"/>
    <mergeCell ref="H31:J31"/>
    <mergeCell ref="B33:K33"/>
    <mergeCell ref="C34:E34"/>
    <mergeCell ref="H34:J34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76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205FE-5154-41C4-827F-2662E38088C5}">
  <sheetPr>
    <pageSetUpPr fitToPage="1"/>
  </sheetPr>
  <dimension ref="A1:M35"/>
  <sheetViews>
    <sheetView workbookViewId="0">
      <selection activeCell="B6" sqref="B6:M7"/>
    </sheetView>
  </sheetViews>
  <sheetFormatPr defaultRowHeight="15" x14ac:dyDescent="0.25"/>
  <cols>
    <col min="1" max="1" width="4" style="52" customWidth="1"/>
    <col min="2" max="12" width="10.28515625" customWidth="1"/>
    <col min="13" max="13" width="10.28515625" style="64" customWidth="1"/>
    <col min="14" max="15" width="10.28515625" customWidth="1"/>
  </cols>
  <sheetData>
    <row r="1" spans="2:13" ht="59.25" customHeight="1" x14ac:dyDescent="0.25">
      <c r="B1" s="1" t="s">
        <v>17</v>
      </c>
      <c r="C1" s="1"/>
      <c r="D1" s="1"/>
      <c r="E1" s="1"/>
      <c r="F1" s="1"/>
      <c r="G1" s="1"/>
      <c r="H1" s="1"/>
      <c r="I1" s="1"/>
      <c r="J1" s="1"/>
      <c r="K1" s="1"/>
      <c r="M1"/>
    </row>
    <row r="2" spans="2:13" ht="15.75" thickBot="1" x14ac:dyDescent="0.3">
      <c r="M2"/>
    </row>
    <row r="3" spans="2:13" ht="30" customHeight="1" thickBot="1" x14ac:dyDescent="0.3">
      <c r="B3" s="2"/>
      <c r="C3" s="3" t="s">
        <v>0</v>
      </c>
      <c r="D3" s="4"/>
      <c r="E3" s="5"/>
      <c r="F3" s="6">
        <v>1</v>
      </c>
      <c r="G3" s="6">
        <v>2</v>
      </c>
      <c r="H3" s="6">
        <v>3</v>
      </c>
      <c r="I3" s="7">
        <v>4</v>
      </c>
      <c r="J3" s="7">
        <v>5</v>
      </c>
      <c r="K3" s="2" t="s">
        <v>1</v>
      </c>
      <c r="L3" s="6" t="s">
        <v>2</v>
      </c>
      <c r="M3" s="71" t="s">
        <v>3</v>
      </c>
    </row>
    <row r="4" spans="2:13" ht="24" customHeight="1" x14ac:dyDescent="0.25">
      <c r="B4" s="86">
        <v>1</v>
      </c>
      <c r="C4" s="87" t="s">
        <v>18</v>
      </c>
      <c r="D4" s="88"/>
      <c r="E4" s="89"/>
      <c r="F4" s="90" t="s">
        <v>4</v>
      </c>
      <c r="G4" s="91" t="str">
        <f ca="1">INDIRECT(ADDRESS(23,6))&amp;":"&amp;INDIRECT(ADDRESS(23,7))</f>
        <v>13:5</v>
      </c>
      <c r="H4" s="91" t="str">
        <f ca="1">INDIRECT(ADDRESS(26,7))&amp;":"&amp;INDIRECT(ADDRESS(26,6))</f>
        <v>3:13</v>
      </c>
      <c r="I4" s="91" t="str">
        <f ca="1">INDIRECT(ADDRESS(30,6))&amp;":"&amp;INDIRECT(ADDRESS(30,7))</f>
        <v>10:5</v>
      </c>
      <c r="J4" s="92" t="str">
        <f ca="1">INDIRECT(ADDRESS(35,7))&amp;":"&amp;INDIRECT(ADDRESS(35,6))</f>
        <v>11:10</v>
      </c>
      <c r="K4" s="93">
        <f ca="1">IF(COUNT(F5:J5)=0,"",COUNTIF(F5:J5,"&gt;0")+0.5*COUNTIF(F5:J5,0))</f>
        <v>3</v>
      </c>
      <c r="L4" s="94"/>
      <c r="M4" s="95">
        <v>1</v>
      </c>
    </row>
    <row r="5" spans="2:13" ht="24" customHeight="1" x14ac:dyDescent="0.25">
      <c r="B5" s="82"/>
      <c r="C5" s="73"/>
      <c r="D5" s="74"/>
      <c r="E5" s="75"/>
      <c r="F5" s="96" t="s">
        <v>4</v>
      </c>
      <c r="G5" s="80">
        <f ca="1">IF(LEN(INDIRECT(ADDRESS(ROW()-1, COLUMN())))=1,"",INDIRECT(ADDRESS(23,6))-INDIRECT(ADDRESS(23,7)))</f>
        <v>8</v>
      </c>
      <c r="H5" s="80">
        <f ca="1">IF(LEN(INDIRECT(ADDRESS(ROW()-1, COLUMN())))=1,"",INDIRECT(ADDRESS(26,7))-INDIRECT(ADDRESS(26,6)))</f>
        <v>-10</v>
      </c>
      <c r="I5" s="80">
        <f ca="1">IF(LEN(INDIRECT(ADDRESS(ROW()-1, COLUMN())))=1,"",INDIRECT(ADDRESS(30,6))-INDIRECT(ADDRESS(30,7)))</f>
        <v>5</v>
      </c>
      <c r="J5" s="85">
        <f ca="1">IF(LEN(INDIRECT(ADDRESS(ROW()-1, COLUMN())))=1,"",INDIRECT(ADDRESS(35,7))-INDIRECT(ADDRESS(35,6)))</f>
        <v>1</v>
      </c>
      <c r="K5" s="79"/>
      <c r="L5" s="80">
        <f ca="1">IF(COUNT(F5:J5)=0,"",SUM(F5:J5))</f>
        <v>4</v>
      </c>
      <c r="M5" s="81"/>
    </row>
    <row r="6" spans="2:13" ht="24" customHeight="1" x14ac:dyDescent="0.25">
      <c r="B6" s="72">
        <v>2</v>
      </c>
      <c r="C6" s="73" t="s">
        <v>19</v>
      </c>
      <c r="D6" s="74"/>
      <c r="E6" s="75"/>
      <c r="F6" s="76" t="str">
        <f ca="1">INDIRECT(ADDRESS(23,7))&amp;":"&amp;INDIRECT(ADDRESS(23,6))</f>
        <v>5:13</v>
      </c>
      <c r="G6" s="77" t="s">
        <v>4</v>
      </c>
      <c r="H6" s="77" t="str">
        <f ca="1">INDIRECT(ADDRESS(31,6))&amp;":"&amp;INDIRECT(ADDRESS(31,7))</f>
        <v>13:8</v>
      </c>
      <c r="I6" s="77" t="str">
        <f ca="1">INDIRECT(ADDRESS(34,7))&amp;":"&amp;INDIRECT(ADDRESS(34,6))</f>
        <v>11:8</v>
      </c>
      <c r="J6" s="78" t="str">
        <f ca="1">INDIRECT(ADDRESS(18,6))&amp;":"&amp;INDIRECT(ADDRESS(18,7))</f>
        <v>12:11</v>
      </c>
      <c r="K6" s="79">
        <f ca="1">IF(COUNT(F7:J7)=0,"",COUNTIF(F7:J7,"&gt;0")+0.5*COUNTIF(F7:J7,0))</f>
        <v>3</v>
      </c>
      <c r="L6" s="80"/>
      <c r="M6" s="81">
        <v>2</v>
      </c>
    </row>
    <row r="7" spans="2:13" ht="24" customHeight="1" x14ac:dyDescent="0.25">
      <c r="B7" s="82"/>
      <c r="C7" s="73"/>
      <c r="D7" s="74"/>
      <c r="E7" s="75"/>
      <c r="F7" s="83">
        <f ca="1">IF(LEN(INDIRECT(ADDRESS(ROW()-1, COLUMN())))=1,"",INDIRECT(ADDRESS(23,7))-INDIRECT(ADDRESS(23,6)))</f>
        <v>-8</v>
      </c>
      <c r="G7" s="84" t="s">
        <v>4</v>
      </c>
      <c r="H7" s="80">
        <f ca="1">IF(LEN(INDIRECT(ADDRESS(ROW()-1, COLUMN())))=1,"",INDIRECT(ADDRESS(31,6))-INDIRECT(ADDRESS(31,7)))</f>
        <v>5</v>
      </c>
      <c r="I7" s="80">
        <f ca="1">IF(LEN(INDIRECT(ADDRESS(ROW()-1, COLUMN())))=1,"",INDIRECT(ADDRESS(34,7))-INDIRECT(ADDRESS(34,6)))</f>
        <v>3</v>
      </c>
      <c r="J7" s="85">
        <f ca="1">IF(LEN(INDIRECT(ADDRESS(ROW()-1, COLUMN())))=1,"",INDIRECT(ADDRESS(18,6))-INDIRECT(ADDRESS(18,7)))</f>
        <v>1</v>
      </c>
      <c r="K7" s="79"/>
      <c r="L7" s="80">
        <f ca="1">IF(COUNT(F7:J7)=0,"",SUM(F7:J7))</f>
        <v>1</v>
      </c>
      <c r="M7" s="81"/>
    </row>
    <row r="8" spans="2:13" ht="24" customHeight="1" x14ac:dyDescent="0.25">
      <c r="B8" s="27">
        <v>3</v>
      </c>
      <c r="C8" s="19" t="s">
        <v>20</v>
      </c>
      <c r="D8" s="20"/>
      <c r="E8" s="21"/>
      <c r="F8" s="28" t="str">
        <f ca="1">INDIRECT(ADDRESS(26,6))&amp;":"&amp;INDIRECT(ADDRESS(26,7))</f>
        <v>13:3</v>
      </c>
      <c r="G8" s="30" t="str">
        <f ca="1">INDIRECT(ADDRESS(31,7))&amp;":"&amp;INDIRECT(ADDRESS(31,6))</f>
        <v>8:13</v>
      </c>
      <c r="H8" s="29" t="s">
        <v>4</v>
      </c>
      <c r="I8" s="30" t="str">
        <f ca="1">INDIRECT(ADDRESS(19,6))&amp;":"&amp;INDIRECT(ADDRESS(19,7))</f>
        <v>8:11</v>
      </c>
      <c r="J8" s="31" t="str">
        <f ca="1">INDIRECT(ADDRESS(22,7))&amp;":"&amp;INDIRECT(ADDRESS(22,6))</f>
        <v>12:10</v>
      </c>
      <c r="K8" s="68">
        <f ca="1">IF(COUNT(F9:J9)=0,"",COUNTIF(F9:J9,"&gt;0")+0.5*COUNTIF(F9:J9,0))</f>
        <v>2</v>
      </c>
      <c r="L8" s="23"/>
      <c r="M8" s="67">
        <v>4</v>
      </c>
    </row>
    <row r="9" spans="2:13" ht="24" customHeight="1" x14ac:dyDescent="0.25">
      <c r="B9" s="18"/>
      <c r="C9" s="19"/>
      <c r="D9" s="20"/>
      <c r="E9" s="21"/>
      <c r="F9" s="33">
        <f ca="1">IF(LEN(INDIRECT(ADDRESS(ROW()-1, COLUMN())))=1,"",INDIRECT(ADDRESS(26,6))-INDIRECT(ADDRESS(26,7)))</f>
        <v>10</v>
      </c>
      <c r="G9" s="23">
        <f ca="1">IF(LEN(INDIRECT(ADDRESS(ROW()-1, COLUMN())))=1,"",INDIRECT(ADDRESS(31,7))-INDIRECT(ADDRESS(31,6)))</f>
        <v>-5</v>
      </c>
      <c r="H9" s="34" t="s">
        <v>4</v>
      </c>
      <c r="I9" s="23">
        <f ca="1">IF(LEN(INDIRECT(ADDRESS(ROW()-1, COLUMN())))=1,"",INDIRECT(ADDRESS(19,6))-INDIRECT(ADDRESS(19,7)))</f>
        <v>-3</v>
      </c>
      <c r="J9" s="24">
        <f ca="1">IF(LEN(INDIRECT(ADDRESS(ROW()-1, COLUMN())))=1,"",INDIRECT(ADDRESS(22,7))-INDIRECT(ADDRESS(22,6)))</f>
        <v>2</v>
      </c>
      <c r="K9" s="68"/>
      <c r="L9" s="23">
        <f ca="1">IF(COUNT(F9:J9)=0,"",SUM(F9:J9))</f>
        <v>4</v>
      </c>
      <c r="M9" s="67"/>
    </row>
    <row r="10" spans="2:13" ht="24" customHeight="1" x14ac:dyDescent="0.25">
      <c r="B10" s="27">
        <v>4</v>
      </c>
      <c r="C10" s="19" t="s">
        <v>21</v>
      </c>
      <c r="D10" s="20"/>
      <c r="E10" s="21"/>
      <c r="F10" s="28" t="str">
        <f ca="1">INDIRECT(ADDRESS(30,7))&amp;":"&amp;INDIRECT(ADDRESS(30,6))</f>
        <v>5:10</v>
      </c>
      <c r="G10" s="30" t="str">
        <f ca="1">INDIRECT(ADDRESS(34,6))&amp;":"&amp;INDIRECT(ADDRESS(34,7))</f>
        <v>8:11</v>
      </c>
      <c r="H10" s="30" t="str">
        <f ca="1">INDIRECT(ADDRESS(19,7))&amp;":"&amp;INDIRECT(ADDRESS(19,6))</f>
        <v>11:8</v>
      </c>
      <c r="I10" s="29" t="s">
        <v>4</v>
      </c>
      <c r="J10" s="31" t="str">
        <f ca="1">INDIRECT(ADDRESS(27,6))&amp;":"&amp;INDIRECT(ADDRESS(27,7))</f>
        <v>8:6</v>
      </c>
      <c r="K10" s="68">
        <f ca="1">IF(COUNT(F11:J11)=0,"",COUNTIF(F11:J11,"&gt;0")+0.5*COUNTIF(F11:J11,0))</f>
        <v>2</v>
      </c>
      <c r="L10" s="23"/>
      <c r="M10" s="67">
        <v>3</v>
      </c>
    </row>
    <row r="11" spans="2:13" ht="24" customHeight="1" x14ac:dyDescent="0.25">
      <c r="B11" s="18"/>
      <c r="C11" s="19"/>
      <c r="D11" s="20"/>
      <c r="E11" s="21"/>
      <c r="F11" s="33">
        <f ca="1">IF(LEN(INDIRECT(ADDRESS(ROW()-1, COLUMN())))=1,"",INDIRECT(ADDRESS(30,7))-INDIRECT(ADDRESS(30,6)))</f>
        <v>-5</v>
      </c>
      <c r="G11" s="23">
        <f ca="1">IF(LEN(INDIRECT(ADDRESS(ROW()-1, COLUMN())))=1,"",INDIRECT(ADDRESS(34,6))-INDIRECT(ADDRESS(34,7)))</f>
        <v>-3</v>
      </c>
      <c r="H11" s="23">
        <f ca="1">IF(LEN(INDIRECT(ADDRESS(ROW()-1, COLUMN())))=1,"",INDIRECT(ADDRESS(19,7))-INDIRECT(ADDRESS(19,6)))</f>
        <v>3</v>
      </c>
      <c r="I11" s="34" t="s">
        <v>4</v>
      </c>
      <c r="J11" s="24">
        <f ca="1">IF(LEN(INDIRECT(ADDRESS(ROW()-1, COLUMN())))=1,"",INDIRECT(ADDRESS(27,6))-INDIRECT(ADDRESS(27,7)))</f>
        <v>2</v>
      </c>
      <c r="K11" s="68"/>
      <c r="L11" s="23">
        <f ca="1">IF(COUNT(F11:J11)=0,"",SUM(F11:J11))</f>
        <v>-3</v>
      </c>
      <c r="M11" s="67"/>
    </row>
    <row r="12" spans="2:13" ht="24" customHeight="1" x14ac:dyDescent="0.25">
      <c r="B12" s="27">
        <v>5</v>
      </c>
      <c r="C12" s="19" t="s">
        <v>22</v>
      </c>
      <c r="D12" s="20"/>
      <c r="E12" s="21"/>
      <c r="F12" s="28" t="str">
        <f ca="1">INDIRECT(ADDRESS(35,6))&amp;":"&amp;INDIRECT(ADDRESS(35,7))</f>
        <v>10:11</v>
      </c>
      <c r="G12" s="30" t="str">
        <f ca="1">INDIRECT(ADDRESS(18,7))&amp;":"&amp;INDIRECT(ADDRESS(18,6))</f>
        <v>11:12</v>
      </c>
      <c r="H12" s="30" t="str">
        <f ca="1">INDIRECT(ADDRESS(22,6))&amp;":"&amp;INDIRECT(ADDRESS(22,7))</f>
        <v>10:12</v>
      </c>
      <c r="I12" s="30" t="str">
        <f ca="1">INDIRECT(ADDRESS(27,7))&amp;":"&amp;INDIRECT(ADDRESS(27,6))</f>
        <v>6:8</v>
      </c>
      <c r="J12" s="35" t="s">
        <v>4</v>
      </c>
      <c r="K12" s="68">
        <f ca="1">IF(COUNT(F13:J13)=0,"",COUNTIF(F13:J13,"&gt;0")+0.5*COUNTIF(F13:J13,0))</f>
        <v>0</v>
      </c>
      <c r="L12" s="23"/>
      <c r="M12" s="67">
        <v>5</v>
      </c>
    </row>
    <row r="13" spans="2:13" ht="24" customHeight="1" thickBot="1" x14ac:dyDescent="0.3">
      <c r="B13" s="36"/>
      <c r="C13" s="37"/>
      <c r="D13" s="38"/>
      <c r="E13" s="39"/>
      <c r="F13" s="40">
        <f ca="1">IF(LEN(INDIRECT(ADDRESS(ROW()-1, COLUMN())))=1,"",INDIRECT(ADDRESS(35,6))-INDIRECT(ADDRESS(35,7)))</f>
        <v>-1</v>
      </c>
      <c r="G13" s="41">
        <f ca="1">IF(LEN(INDIRECT(ADDRESS(ROW()-1, COLUMN())))=1,"",INDIRECT(ADDRESS(18,7))-INDIRECT(ADDRESS(18,6)))</f>
        <v>-1</v>
      </c>
      <c r="H13" s="41">
        <f ca="1">IF(LEN(INDIRECT(ADDRESS(ROW()-1, COLUMN())))=1,"",INDIRECT(ADDRESS(22,6))-INDIRECT(ADDRESS(22,7)))</f>
        <v>-2</v>
      </c>
      <c r="I13" s="41">
        <f ca="1">IF(LEN(INDIRECT(ADDRESS(ROW()-1, COLUMN())))=1,"",INDIRECT(ADDRESS(27,7))-INDIRECT(ADDRESS(27,6)))</f>
        <v>-2</v>
      </c>
      <c r="J13" s="42" t="s">
        <v>4</v>
      </c>
      <c r="K13" s="66"/>
      <c r="L13" s="41">
        <f ca="1">IF(COUNT(F13:J13)=0,"",SUM(F13:J13))</f>
        <v>-6</v>
      </c>
      <c r="M13" s="65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2:13" ht="30" customHeight="1" thickBot="1" x14ac:dyDescent="0.3">
      <c r="B17" s="43" t="s">
        <v>5</v>
      </c>
      <c r="C17" s="43"/>
      <c r="D17" s="43"/>
      <c r="E17" s="43"/>
      <c r="F17" s="43"/>
      <c r="G17" s="43"/>
      <c r="H17" s="43"/>
      <c r="I17" s="43"/>
      <c r="J17" s="43"/>
      <c r="K17" s="43"/>
    </row>
    <row r="18" spans="2:13" ht="30" customHeight="1" thickBot="1" x14ac:dyDescent="0.3">
      <c r="B18" s="44">
        <v>2</v>
      </c>
      <c r="C18" s="45" t="str">
        <f ca="1">IF(ISBLANK(INDIRECT(ADDRESS(B18*2+2,3))),"",INDIRECT(ADDRESS(B18*2+2,3)))</f>
        <v>Воронов</v>
      </c>
      <c r="D18" s="45"/>
      <c r="E18" s="46"/>
      <c r="F18" s="47">
        <v>12</v>
      </c>
      <c r="G18" s="48">
        <v>11</v>
      </c>
      <c r="H18" s="49" t="str">
        <f ca="1">IF(ISBLANK(INDIRECT(ADDRESS(K18*2+2,3))),"",INDIRECT(ADDRESS(K18*2+2,3)))</f>
        <v>Комаров</v>
      </c>
      <c r="I18" s="45"/>
      <c r="J18" s="45"/>
      <c r="K18" s="44">
        <v>5</v>
      </c>
      <c r="L18" s="50" t="s">
        <v>6</v>
      </c>
      <c r="M18" s="52"/>
    </row>
    <row r="19" spans="2:13" ht="30" customHeight="1" thickBot="1" x14ac:dyDescent="0.3">
      <c r="B19" s="44">
        <v>3</v>
      </c>
      <c r="C19" s="45" t="str">
        <f ca="1">IF(ISBLANK(INDIRECT(ADDRESS(B19*2+2,3))),"",INDIRECT(ADDRESS(B19*2+2,3)))</f>
        <v>Новиков</v>
      </c>
      <c r="D19" s="45"/>
      <c r="E19" s="46"/>
      <c r="F19" s="47">
        <v>8</v>
      </c>
      <c r="G19" s="48">
        <v>11</v>
      </c>
      <c r="H19" s="49" t="str">
        <f ca="1">IF(ISBLANK(INDIRECT(ADDRESS(K19*2+2,3))),"",INDIRECT(ADDRESS(K19*2+2,3)))</f>
        <v>Полякова</v>
      </c>
      <c r="I19" s="45"/>
      <c r="J19" s="45"/>
      <c r="K19" s="44">
        <v>4</v>
      </c>
      <c r="L19" s="50" t="s">
        <v>6</v>
      </c>
      <c r="M19" s="52"/>
    </row>
    <row r="20" spans="2:13" ht="30" customHeight="1" x14ac:dyDescent="0.25">
      <c r="M20" s="44"/>
    </row>
    <row r="21" spans="2:13" ht="30" customHeight="1" thickBot="1" x14ac:dyDescent="0.3">
      <c r="B21" s="43" t="s">
        <v>7</v>
      </c>
      <c r="C21" s="43"/>
      <c r="D21" s="43"/>
      <c r="E21" s="43"/>
      <c r="F21" s="43"/>
      <c r="G21" s="43"/>
      <c r="H21" s="43"/>
      <c r="I21" s="43"/>
      <c r="J21" s="43"/>
      <c r="K21" s="43"/>
      <c r="M21" s="44"/>
    </row>
    <row r="22" spans="2:13" ht="30" customHeight="1" thickBot="1" x14ac:dyDescent="0.3">
      <c r="B22" s="44">
        <v>5</v>
      </c>
      <c r="C22" s="45" t="str">
        <f ca="1">IF(ISBLANK(INDIRECT(ADDRESS(B22*2+2,3))),"",INDIRECT(ADDRESS(B22*2+2,3)))</f>
        <v>Комаров</v>
      </c>
      <c r="D22" s="45"/>
      <c r="E22" s="46"/>
      <c r="F22" s="47">
        <v>10</v>
      </c>
      <c r="G22" s="48">
        <v>12</v>
      </c>
      <c r="H22" s="49" t="str">
        <f ca="1">IF(ISBLANK(INDIRECT(ADDRESS(K22*2+2,3))),"",INDIRECT(ADDRESS(K22*2+2,3)))</f>
        <v>Новиков</v>
      </c>
      <c r="I22" s="45"/>
      <c r="J22" s="45"/>
      <c r="K22" s="44">
        <v>3</v>
      </c>
      <c r="L22" s="50" t="s">
        <v>6</v>
      </c>
      <c r="M22" s="52"/>
    </row>
    <row r="23" spans="2:13" ht="30" customHeight="1" thickBot="1" x14ac:dyDescent="0.3">
      <c r="B23" s="44">
        <v>1</v>
      </c>
      <c r="C23" s="45" t="str">
        <f ca="1">IF(ISBLANK(INDIRECT(ADDRESS(B23*2+2,3))),"",INDIRECT(ADDRESS(B23*2+2,3)))</f>
        <v>Воробьёва</v>
      </c>
      <c r="D23" s="45"/>
      <c r="E23" s="46"/>
      <c r="F23" s="47">
        <v>13</v>
      </c>
      <c r="G23" s="48">
        <v>5</v>
      </c>
      <c r="H23" s="49" t="str">
        <f ca="1">IF(ISBLANK(INDIRECT(ADDRESS(K23*2+2,3))),"",INDIRECT(ADDRESS(K23*2+2,3)))</f>
        <v>Воронов</v>
      </c>
      <c r="I23" s="45"/>
      <c r="J23" s="45"/>
      <c r="K23" s="44">
        <v>2</v>
      </c>
      <c r="L23" s="50" t="s">
        <v>6</v>
      </c>
      <c r="M23" s="52"/>
    </row>
    <row r="24" spans="2:13" ht="30" customHeight="1" x14ac:dyDescent="0.25">
      <c r="M24" s="44"/>
    </row>
    <row r="25" spans="2:13" ht="30" customHeight="1" thickBot="1" x14ac:dyDescent="0.3">
      <c r="B25" s="43" t="s">
        <v>8</v>
      </c>
      <c r="C25" s="43"/>
      <c r="D25" s="43"/>
      <c r="E25" s="43"/>
      <c r="F25" s="43"/>
      <c r="G25" s="43"/>
      <c r="H25" s="43"/>
      <c r="I25" s="43"/>
      <c r="J25" s="43"/>
      <c r="K25" s="43"/>
      <c r="M25" s="44"/>
    </row>
    <row r="26" spans="2:13" ht="30" customHeight="1" thickBot="1" x14ac:dyDescent="0.3">
      <c r="B26" s="44">
        <v>3</v>
      </c>
      <c r="C26" s="45" t="str">
        <f ca="1">IF(ISBLANK(INDIRECT(ADDRESS(B26*2+2,3))),"",INDIRECT(ADDRESS(B26*2+2,3)))</f>
        <v>Новиков</v>
      </c>
      <c r="D26" s="45"/>
      <c r="E26" s="46"/>
      <c r="F26" s="47">
        <v>13</v>
      </c>
      <c r="G26" s="48">
        <v>3</v>
      </c>
      <c r="H26" s="49" t="str">
        <f ca="1">IF(ISBLANK(INDIRECT(ADDRESS(K26*2+2,3))),"",INDIRECT(ADDRESS(K26*2+2,3)))</f>
        <v>Воробьёва</v>
      </c>
      <c r="I26" s="45"/>
      <c r="J26" s="45"/>
      <c r="K26" s="44">
        <v>1</v>
      </c>
      <c r="L26" s="50" t="s">
        <v>6</v>
      </c>
      <c r="M26" s="52"/>
    </row>
    <row r="27" spans="2:13" ht="30" customHeight="1" thickBot="1" x14ac:dyDescent="0.3">
      <c r="B27" s="44">
        <v>4</v>
      </c>
      <c r="C27" s="45" t="str">
        <f ca="1">IF(ISBLANK(INDIRECT(ADDRESS(B27*2+2,3))),"",INDIRECT(ADDRESS(B27*2+2,3)))</f>
        <v>Полякова</v>
      </c>
      <c r="D27" s="45"/>
      <c r="E27" s="46"/>
      <c r="F27" s="47">
        <v>8</v>
      </c>
      <c r="G27" s="48">
        <v>6</v>
      </c>
      <c r="H27" s="49" t="str">
        <f ca="1">IF(ISBLANK(INDIRECT(ADDRESS(K27*2+2,3))),"",INDIRECT(ADDRESS(K27*2+2,3)))</f>
        <v>Комаров</v>
      </c>
      <c r="I27" s="45"/>
      <c r="J27" s="45"/>
      <c r="K27" s="44">
        <v>5</v>
      </c>
      <c r="L27" s="50" t="s">
        <v>6</v>
      </c>
      <c r="M27" s="52"/>
    </row>
    <row r="28" spans="2:13" ht="30" customHeight="1" x14ac:dyDescent="0.25">
      <c r="M28" s="44"/>
    </row>
    <row r="29" spans="2:13" ht="30" customHeight="1" thickBot="1" x14ac:dyDescent="0.3">
      <c r="B29" s="43" t="s">
        <v>9</v>
      </c>
      <c r="C29" s="43"/>
      <c r="D29" s="43"/>
      <c r="E29" s="43"/>
      <c r="F29" s="43"/>
      <c r="G29" s="43"/>
      <c r="H29" s="43"/>
      <c r="I29" s="43"/>
      <c r="J29" s="43"/>
      <c r="K29" s="43"/>
      <c r="M29" s="44"/>
    </row>
    <row r="30" spans="2:13" ht="30" customHeight="1" thickBot="1" x14ac:dyDescent="0.3">
      <c r="B30" s="44">
        <v>1</v>
      </c>
      <c r="C30" s="45" t="str">
        <f ca="1">IF(ISBLANK(INDIRECT(ADDRESS(B30*2+2,3))),"",INDIRECT(ADDRESS(B30*2+2,3)))</f>
        <v>Воробьёва</v>
      </c>
      <c r="D30" s="45"/>
      <c r="E30" s="46"/>
      <c r="F30" s="47">
        <v>10</v>
      </c>
      <c r="G30" s="48">
        <v>5</v>
      </c>
      <c r="H30" s="49" t="str">
        <f ca="1">IF(ISBLANK(INDIRECT(ADDRESS(K30*2+2,3))),"",INDIRECT(ADDRESS(K30*2+2,3)))</f>
        <v>Полякова</v>
      </c>
      <c r="I30" s="45"/>
      <c r="J30" s="45"/>
      <c r="K30" s="44">
        <v>4</v>
      </c>
      <c r="L30" s="50" t="s">
        <v>6</v>
      </c>
      <c r="M30" s="52"/>
    </row>
    <row r="31" spans="2:13" ht="30" customHeight="1" thickBot="1" x14ac:dyDescent="0.3">
      <c r="B31" s="44">
        <v>2</v>
      </c>
      <c r="C31" s="45" t="str">
        <f ca="1">IF(ISBLANK(INDIRECT(ADDRESS(B31*2+2,3))),"",INDIRECT(ADDRESS(B31*2+2,3)))</f>
        <v>Воронов</v>
      </c>
      <c r="D31" s="45"/>
      <c r="E31" s="46"/>
      <c r="F31" s="47">
        <v>13</v>
      </c>
      <c r="G31" s="48">
        <v>8</v>
      </c>
      <c r="H31" s="49" t="str">
        <f ca="1">IF(ISBLANK(INDIRECT(ADDRESS(K31*2+2,3))),"",INDIRECT(ADDRESS(K31*2+2,3)))</f>
        <v>Новиков</v>
      </c>
      <c r="I31" s="45"/>
      <c r="J31" s="45"/>
      <c r="K31" s="44">
        <v>3</v>
      </c>
      <c r="L31" s="50" t="s">
        <v>6</v>
      </c>
      <c r="M31" s="52"/>
    </row>
    <row r="32" spans="2:13" ht="30" customHeight="1" x14ac:dyDescent="0.25">
      <c r="M32" s="44"/>
    </row>
    <row r="33" spans="2:13" ht="30" customHeight="1" thickBot="1" x14ac:dyDescent="0.3">
      <c r="B33" s="43" t="s">
        <v>10</v>
      </c>
      <c r="C33" s="43"/>
      <c r="D33" s="43"/>
      <c r="E33" s="43"/>
      <c r="F33" s="43"/>
      <c r="G33" s="43"/>
      <c r="H33" s="43"/>
      <c r="I33" s="43"/>
      <c r="J33" s="43"/>
      <c r="K33" s="43"/>
      <c r="M33" s="44"/>
    </row>
    <row r="34" spans="2:13" ht="30" customHeight="1" thickBot="1" x14ac:dyDescent="0.3">
      <c r="B34" s="44">
        <v>4</v>
      </c>
      <c r="C34" s="45" t="str">
        <f ca="1">IF(ISBLANK(INDIRECT(ADDRESS(B34*2+2,3))),"",INDIRECT(ADDRESS(B34*2+2,3)))</f>
        <v>Полякова</v>
      </c>
      <c r="D34" s="45"/>
      <c r="E34" s="46"/>
      <c r="F34" s="47">
        <v>8</v>
      </c>
      <c r="G34" s="48">
        <v>11</v>
      </c>
      <c r="H34" s="49" t="str">
        <f ca="1">IF(ISBLANK(INDIRECT(ADDRESS(K34*2+2,3))),"",INDIRECT(ADDRESS(K34*2+2,3)))</f>
        <v>Воронов</v>
      </c>
      <c r="I34" s="45"/>
      <c r="J34" s="45"/>
      <c r="K34" s="44">
        <v>2</v>
      </c>
      <c r="L34" s="50" t="s">
        <v>6</v>
      </c>
      <c r="M34" s="52"/>
    </row>
    <row r="35" spans="2:13" ht="30" customHeight="1" thickBot="1" x14ac:dyDescent="0.3">
      <c r="B35" s="44">
        <v>5</v>
      </c>
      <c r="C35" s="45" t="str">
        <f ca="1">IF(ISBLANK(INDIRECT(ADDRESS(B35*2+2,3))),"",INDIRECT(ADDRESS(B35*2+2,3)))</f>
        <v>Комаров</v>
      </c>
      <c r="D35" s="45"/>
      <c r="E35" s="46"/>
      <c r="F35" s="47">
        <v>10</v>
      </c>
      <c r="G35" s="48">
        <v>11</v>
      </c>
      <c r="H35" s="49" t="str">
        <f ca="1">IF(ISBLANK(INDIRECT(ADDRESS(K35*2+2,3))),"",INDIRECT(ADDRESS(K35*2+2,3)))</f>
        <v>Воробьёва</v>
      </c>
      <c r="I35" s="45"/>
      <c r="J35" s="45"/>
      <c r="K35" s="44">
        <v>1</v>
      </c>
      <c r="L35" s="50" t="s">
        <v>6</v>
      </c>
      <c r="M35" s="52"/>
    </row>
  </sheetData>
  <mergeCells count="47">
    <mergeCell ref="B33:K33"/>
    <mergeCell ref="C34:E34"/>
    <mergeCell ref="H34:J34"/>
    <mergeCell ref="C35:E35"/>
    <mergeCell ref="H35:J35"/>
    <mergeCell ref="C27:E27"/>
    <mergeCell ref="H27:J27"/>
    <mergeCell ref="B29:K29"/>
    <mergeCell ref="C30:E30"/>
    <mergeCell ref="H30:J30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B17:K17"/>
    <mergeCell ref="C18:E18"/>
    <mergeCell ref="H18:J18"/>
    <mergeCell ref="C19:E19"/>
    <mergeCell ref="H19:J1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6:B7"/>
    <mergeCell ref="C6:E7"/>
    <mergeCell ref="K6:K7"/>
    <mergeCell ref="M6:M7"/>
    <mergeCell ref="B8:B9"/>
    <mergeCell ref="C8:E9"/>
    <mergeCell ref="K8:K9"/>
    <mergeCell ref="M8:M9"/>
    <mergeCell ref="B1:K1"/>
    <mergeCell ref="C3:E3"/>
    <mergeCell ref="B4:B5"/>
    <mergeCell ref="C4:E5"/>
    <mergeCell ref="K4:K5"/>
    <mergeCell ref="M4:M5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76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9ED04-8D01-4AF3-AB26-84C2A71055C5}">
  <sheetPr>
    <pageSetUpPr fitToPage="1"/>
  </sheetPr>
  <dimension ref="A1:M35"/>
  <sheetViews>
    <sheetView workbookViewId="0">
      <selection activeCell="B6" sqref="B6:M7"/>
    </sheetView>
  </sheetViews>
  <sheetFormatPr defaultRowHeight="15" x14ac:dyDescent="0.25"/>
  <cols>
    <col min="1" max="1" width="4" style="52" customWidth="1"/>
    <col min="2" max="12" width="10.28515625" customWidth="1"/>
    <col min="13" max="13" width="10.28515625" style="64" customWidth="1"/>
    <col min="14" max="15" width="10.28515625" customWidth="1"/>
  </cols>
  <sheetData>
    <row r="1" spans="2:13" ht="59.25" customHeight="1" x14ac:dyDescent="0.25">
      <c r="B1" s="1" t="s">
        <v>28</v>
      </c>
      <c r="C1" s="1"/>
      <c r="D1" s="1"/>
      <c r="E1" s="1"/>
      <c r="F1" s="1"/>
      <c r="G1" s="1"/>
      <c r="H1" s="1"/>
      <c r="I1" s="1"/>
      <c r="J1" s="1"/>
      <c r="K1" s="1"/>
      <c r="M1"/>
    </row>
    <row r="2" spans="2:13" ht="15.75" thickBot="1" x14ac:dyDescent="0.3">
      <c r="M2"/>
    </row>
    <row r="3" spans="2:13" ht="30" customHeight="1" thickBot="1" x14ac:dyDescent="0.3">
      <c r="B3" s="2"/>
      <c r="C3" s="3" t="s">
        <v>0</v>
      </c>
      <c r="D3" s="4"/>
      <c r="E3" s="5"/>
      <c r="F3" s="6">
        <v>1</v>
      </c>
      <c r="G3" s="6">
        <v>2</v>
      </c>
      <c r="H3" s="6">
        <v>3</v>
      </c>
      <c r="I3" s="7">
        <v>4</v>
      </c>
      <c r="J3" s="7">
        <v>5</v>
      </c>
      <c r="K3" s="2" t="s">
        <v>1</v>
      </c>
      <c r="L3" s="6" t="s">
        <v>2</v>
      </c>
      <c r="M3" s="71" t="s">
        <v>3</v>
      </c>
    </row>
    <row r="4" spans="2:13" ht="24" customHeight="1" x14ac:dyDescent="0.25">
      <c r="B4" s="86">
        <v>1</v>
      </c>
      <c r="C4" s="87" t="s">
        <v>23</v>
      </c>
      <c r="D4" s="88"/>
      <c r="E4" s="89"/>
      <c r="F4" s="90" t="s">
        <v>4</v>
      </c>
      <c r="G4" s="91" t="str">
        <f ca="1">INDIRECT(ADDRESS(23,6))&amp;":"&amp;INDIRECT(ADDRESS(23,7))</f>
        <v>12:5</v>
      </c>
      <c r="H4" s="91" t="str">
        <f ca="1">INDIRECT(ADDRESS(26,7))&amp;":"&amp;INDIRECT(ADDRESS(26,6))</f>
        <v>3:13</v>
      </c>
      <c r="I4" s="91" t="str">
        <f ca="1">INDIRECT(ADDRESS(30,6))&amp;":"&amp;INDIRECT(ADDRESS(30,7))</f>
        <v>13:4</v>
      </c>
      <c r="J4" s="92" t="str">
        <f ca="1">INDIRECT(ADDRESS(35,7))&amp;":"&amp;INDIRECT(ADDRESS(35,6))</f>
        <v>11:12</v>
      </c>
      <c r="K4" s="93">
        <f ca="1">IF(COUNT(F5:J5)=0,"",COUNTIF(F5:J5,"&gt;0")+0.5*COUNTIF(F5:J5,0))</f>
        <v>2</v>
      </c>
      <c r="L4" s="94"/>
      <c r="M4" s="95">
        <v>2</v>
      </c>
    </row>
    <row r="5" spans="2:13" ht="24" customHeight="1" x14ac:dyDescent="0.25">
      <c r="B5" s="82"/>
      <c r="C5" s="73"/>
      <c r="D5" s="74"/>
      <c r="E5" s="75"/>
      <c r="F5" s="96" t="s">
        <v>4</v>
      </c>
      <c r="G5" s="80">
        <f ca="1">IF(LEN(INDIRECT(ADDRESS(ROW()-1, COLUMN())))=1,"",INDIRECT(ADDRESS(23,6))-INDIRECT(ADDRESS(23,7)))</f>
        <v>7</v>
      </c>
      <c r="H5" s="80">
        <f ca="1">IF(LEN(INDIRECT(ADDRESS(ROW()-1, COLUMN())))=1,"",INDIRECT(ADDRESS(26,7))-INDIRECT(ADDRESS(26,6)))</f>
        <v>-10</v>
      </c>
      <c r="I5" s="80">
        <f ca="1">IF(LEN(INDIRECT(ADDRESS(ROW()-1, COLUMN())))=1,"",INDIRECT(ADDRESS(30,6))-INDIRECT(ADDRESS(30,7)))</f>
        <v>9</v>
      </c>
      <c r="J5" s="85">
        <f ca="1">IF(LEN(INDIRECT(ADDRESS(ROW()-1, COLUMN())))=1,"",INDIRECT(ADDRESS(35,7))-INDIRECT(ADDRESS(35,6)))</f>
        <v>-1</v>
      </c>
      <c r="K5" s="79"/>
      <c r="L5" s="80">
        <f ca="1">IF(COUNT(F5:J5)=0,"",SUM(F5:J5))</f>
        <v>5</v>
      </c>
      <c r="M5" s="81"/>
    </row>
    <row r="6" spans="2:13" ht="24" customHeight="1" x14ac:dyDescent="0.25">
      <c r="B6" s="106">
        <v>2</v>
      </c>
      <c r="C6" s="107" t="s">
        <v>24</v>
      </c>
      <c r="D6" s="108"/>
      <c r="E6" s="109"/>
      <c r="F6" s="110" t="str">
        <f ca="1">INDIRECT(ADDRESS(23,7))&amp;":"&amp;INDIRECT(ADDRESS(23,6))</f>
        <v>5:12</v>
      </c>
      <c r="G6" s="111" t="s">
        <v>4</v>
      </c>
      <c r="H6" s="111" t="str">
        <f ca="1">INDIRECT(ADDRESS(31,6))&amp;":"&amp;INDIRECT(ADDRESS(31,7))</f>
        <v>13:8</v>
      </c>
      <c r="I6" s="111" t="str">
        <f ca="1">INDIRECT(ADDRESS(34,7))&amp;":"&amp;INDIRECT(ADDRESS(34,6))</f>
        <v>7:11</v>
      </c>
      <c r="J6" s="112" t="str">
        <f ca="1">INDIRECT(ADDRESS(18,6))&amp;":"&amp;INDIRECT(ADDRESS(18,7))</f>
        <v>13:6</v>
      </c>
      <c r="K6" s="113">
        <f ca="1">IF(COUNT(F7:J7)=0,"",COUNTIF(F7:J7,"&gt;0")+0.5*COUNTIF(F7:J7,0))</f>
        <v>2</v>
      </c>
      <c r="L6" s="114"/>
      <c r="M6" s="115">
        <v>3</v>
      </c>
    </row>
    <row r="7" spans="2:13" ht="24" customHeight="1" x14ac:dyDescent="0.25">
      <c r="B7" s="116"/>
      <c r="C7" s="107"/>
      <c r="D7" s="108"/>
      <c r="E7" s="109"/>
      <c r="F7" s="117">
        <f ca="1">IF(LEN(INDIRECT(ADDRESS(ROW()-1, COLUMN())))=1,"",INDIRECT(ADDRESS(23,7))-INDIRECT(ADDRESS(23,6)))</f>
        <v>-7</v>
      </c>
      <c r="G7" s="118" t="s">
        <v>4</v>
      </c>
      <c r="H7" s="114">
        <f ca="1">IF(LEN(INDIRECT(ADDRESS(ROW()-1, COLUMN())))=1,"",INDIRECT(ADDRESS(31,6))-INDIRECT(ADDRESS(31,7)))</f>
        <v>5</v>
      </c>
      <c r="I7" s="114">
        <f ca="1">IF(LEN(INDIRECT(ADDRESS(ROW()-1, COLUMN())))=1,"",INDIRECT(ADDRESS(34,7))-INDIRECT(ADDRESS(34,6)))</f>
        <v>-4</v>
      </c>
      <c r="J7" s="119">
        <f ca="1">IF(LEN(INDIRECT(ADDRESS(ROW()-1, COLUMN())))=1,"",INDIRECT(ADDRESS(18,6))-INDIRECT(ADDRESS(18,7)))</f>
        <v>7</v>
      </c>
      <c r="K7" s="113"/>
      <c r="L7" s="114">
        <f ca="1">IF(COUNT(F7:J7)=0,"",SUM(F7:J7))</f>
        <v>1</v>
      </c>
      <c r="M7" s="115"/>
    </row>
    <row r="8" spans="2:13" ht="24" customHeight="1" x14ac:dyDescent="0.25">
      <c r="B8" s="72">
        <v>3</v>
      </c>
      <c r="C8" s="73" t="s">
        <v>25</v>
      </c>
      <c r="D8" s="74"/>
      <c r="E8" s="75"/>
      <c r="F8" s="76" t="str">
        <f ca="1">INDIRECT(ADDRESS(26,6))&amp;":"&amp;INDIRECT(ADDRESS(26,7))</f>
        <v>13:3</v>
      </c>
      <c r="G8" s="77" t="str">
        <f ca="1">INDIRECT(ADDRESS(31,7))&amp;":"&amp;INDIRECT(ADDRESS(31,6))</f>
        <v>8:13</v>
      </c>
      <c r="H8" s="77" t="s">
        <v>4</v>
      </c>
      <c r="I8" s="77" t="str">
        <f ca="1">INDIRECT(ADDRESS(19,6))&amp;":"&amp;INDIRECT(ADDRESS(19,7))</f>
        <v>13:5</v>
      </c>
      <c r="J8" s="78" t="str">
        <f ca="1">INDIRECT(ADDRESS(22,7))&amp;":"&amp;INDIRECT(ADDRESS(22,6))</f>
        <v>13:10</v>
      </c>
      <c r="K8" s="79">
        <f ca="1">IF(COUNT(F9:J9)=0,"",COUNTIF(F9:J9,"&gt;0")+0.5*COUNTIF(F9:J9,0))</f>
        <v>3</v>
      </c>
      <c r="L8" s="80"/>
      <c r="M8" s="81">
        <v>1</v>
      </c>
    </row>
    <row r="9" spans="2:13" ht="24" customHeight="1" x14ac:dyDescent="0.25">
      <c r="B9" s="82"/>
      <c r="C9" s="73"/>
      <c r="D9" s="74"/>
      <c r="E9" s="75"/>
      <c r="F9" s="83">
        <f ca="1">IF(LEN(INDIRECT(ADDRESS(ROW()-1, COLUMN())))=1,"",INDIRECT(ADDRESS(26,6))-INDIRECT(ADDRESS(26,7)))</f>
        <v>10</v>
      </c>
      <c r="G9" s="80">
        <f ca="1">IF(LEN(INDIRECT(ADDRESS(ROW()-1, COLUMN())))=1,"",INDIRECT(ADDRESS(31,7))-INDIRECT(ADDRESS(31,6)))</f>
        <v>-5</v>
      </c>
      <c r="H9" s="84" t="s">
        <v>4</v>
      </c>
      <c r="I9" s="80">
        <f ca="1">IF(LEN(INDIRECT(ADDRESS(ROW()-1, COLUMN())))=1,"",INDIRECT(ADDRESS(19,6))-INDIRECT(ADDRESS(19,7)))</f>
        <v>8</v>
      </c>
      <c r="J9" s="85">
        <f ca="1">IF(LEN(INDIRECT(ADDRESS(ROW()-1, COLUMN())))=1,"",INDIRECT(ADDRESS(22,7))-INDIRECT(ADDRESS(22,6)))</f>
        <v>3</v>
      </c>
      <c r="K9" s="79"/>
      <c r="L9" s="80">
        <f ca="1">IF(COUNT(F9:J9)=0,"",SUM(F9:J9))</f>
        <v>16</v>
      </c>
      <c r="M9" s="81"/>
    </row>
    <row r="10" spans="2:13" ht="24" customHeight="1" x14ac:dyDescent="0.25">
      <c r="B10" s="27">
        <v>4</v>
      </c>
      <c r="C10" s="19" t="s">
        <v>26</v>
      </c>
      <c r="D10" s="20"/>
      <c r="E10" s="21"/>
      <c r="F10" s="28" t="str">
        <f ca="1">INDIRECT(ADDRESS(30,7))&amp;":"&amp;INDIRECT(ADDRESS(30,6))</f>
        <v>4:13</v>
      </c>
      <c r="G10" s="30" t="str">
        <f ca="1">INDIRECT(ADDRESS(34,6))&amp;":"&amp;INDIRECT(ADDRESS(34,7))</f>
        <v>11:7</v>
      </c>
      <c r="H10" s="30" t="str">
        <f ca="1">INDIRECT(ADDRESS(19,7))&amp;":"&amp;INDIRECT(ADDRESS(19,6))</f>
        <v>5:13</v>
      </c>
      <c r="I10" s="29" t="s">
        <v>4</v>
      </c>
      <c r="J10" s="31" t="str">
        <f ca="1">INDIRECT(ADDRESS(27,6))&amp;":"&amp;INDIRECT(ADDRESS(27,7))</f>
        <v>6:13</v>
      </c>
      <c r="K10" s="68">
        <f ca="1">IF(COUNT(F11:J11)=0,"",COUNTIF(F11:J11,"&gt;0")+0.5*COUNTIF(F11:J11,0))</f>
        <v>1</v>
      </c>
      <c r="L10" s="23"/>
      <c r="M10" s="67">
        <v>5</v>
      </c>
    </row>
    <row r="11" spans="2:13" ht="24" customHeight="1" x14ac:dyDescent="0.25">
      <c r="B11" s="18"/>
      <c r="C11" s="19"/>
      <c r="D11" s="20"/>
      <c r="E11" s="21"/>
      <c r="F11" s="33">
        <f ca="1">IF(LEN(INDIRECT(ADDRESS(ROW()-1, COLUMN())))=1,"",INDIRECT(ADDRESS(30,7))-INDIRECT(ADDRESS(30,6)))</f>
        <v>-9</v>
      </c>
      <c r="G11" s="23">
        <f ca="1">IF(LEN(INDIRECT(ADDRESS(ROW()-1, COLUMN())))=1,"",INDIRECT(ADDRESS(34,6))-INDIRECT(ADDRESS(34,7)))</f>
        <v>4</v>
      </c>
      <c r="H11" s="23">
        <f ca="1">IF(LEN(INDIRECT(ADDRESS(ROW()-1, COLUMN())))=1,"",INDIRECT(ADDRESS(19,7))-INDIRECT(ADDRESS(19,6)))</f>
        <v>-8</v>
      </c>
      <c r="I11" s="34" t="s">
        <v>4</v>
      </c>
      <c r="J11" s="24">
        <f ca="1">IF(LEN(INDIRECT(ADDRESS(ROW()-1, COLUMN())))=1,"",INDIRECT(ADDRESS(27,6))-INDIRECT(ADDRESS(27,7)))</f>
        <v>-7</v>
      </c>
      <c r="K11" s="68"/>
      <c r="L11" s="23">
        <f ca="1">IF(COUNT(F11:J11)=0,"",SUM(F11:J11))</f>
        <v>-20</v>
      </c>
      <c r="M11" s="67"/>
    </row>
    <row r="12" spans="2:13" ht="24" customHeight="1" x14ac:dyDescent="0.25">
      <c r="B12" s="27">
        <v>5</v>
      </c>
      <c r="C12" s="19" t="s">
        <v>27</v>
      </c>
      <c r="D12" s="20"/>
      <c r="E12" s="21"/>
      <c r="F12" s="28" t="str">
        <f ca="1">INDIRECT(ADDRESS(35,6))&amp;":"&amp;INDIRECT(ADDRESS(35,7))</f>
        <v>12:11</v>
      </c>
      <c r="G12" s="30" t="str">
        <f ca="1">INDIRECT(ADDRESS(18,7))&amp;":"&amp;INDIRECT(ADDRESS(18,6))</f>
        <v>6:13</v>
      </c>
      <c r="H12" s="30" t="str">
        <f ca="1">INDIRECT(ADDRESS(22,6))&amp;":"&amp;INDIRECT(ADDRESS(22,7))</f>
        <v>10:13</v>
      </c>
      <c r="I12" s="30" t="str">
        <f ca="1">INDIRECT(ADDRESS(27,7))&amp;":"&amp;INDIRECT(ADDRESS(27,6))</f>
        <v>13:6</v>
      </c>
      <c r="J12" s="35" t="s">
        <v>4</v>
      </c>
      <c r="K12" s="68">
        <f ca="1">IF(COUNT(F13:J13)=0,"",COUNTIF(F13:J13,"&gt;0")+0.5*COUNTIF(F13:J13,0))</f>
        <v>2</v>
      </c>
      <c r="L12" s="23"/>
      <c r="M12" s="67">
        <v>4</v>
      </c>
    </row>
    <row r="13" spans="2:13" ht="24" customHeight="1" thickBot="1" x14ac:dyDescent="0.3">
      <c r="B13" s="36"/>
      <c r="C13" s="37"/>
      <c r="D13" s="38"/>
      <c r="E13" s="39"/>
      <c r="F13" s="40">
        <f ca="1">IF(LEN(INDIRECT(ADDRESS(ROW()-1, COLUMN())))=1,"",INDIRECT(ADDRESS(35,6))-INDIRECT(ADDRESS(35,7)))</f>
        <v>1</v>
      </c>
      <c r="G13" s="41">
        <f ca="1">IF(LEN(INDIRECT(ADDRESS(ROW()-1, COLUMN())))=1,"",INDIRECT(ADDRESS(18,7))-INDIRECT(ADDRESS(18,6)))</f>
        <v>-7</v>
      </c>
      <c r="H13" s="41">
        <f ca="1">IF(LEN(INDIRECT(ADDRESS(ROW()-1, COLUMN())))=1,"",INDIRECT(ADDRESS(22,6))-INDIRECT(ADDRESS(22,7)))</f>
        <v>-3</v>
      </c>
      <c r="I13" s="41">
        <f ca="1">IF(LEN(INDIRECT(ADDRESS(ROW()-1, COLUMN())))=1,"",INDIRECT(ADDRESS(27,7))-INDIRECT(ADDRESS(27,6)))</f>
        <v>7</v>
      </c>
      <c r="J13" s="42" t="s">
        <v>4</v>
      </c>
      <c r="K13" s="66"/>
      <c r="L13" s="41">
        <f ca="1">IF(COUNT(F13:J13)=0,"",SUM(F13:J13))</f>
        <v>-2</v>
      </c>
      <c r="M13" s="65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2:13" ht="30" customHeight="1" thickBot="1" x14ac:dyDescent="0.3">
      <c r="B17" s="43" t="s">
        <v>5</v>
      </c>
      <c r="C17" s="43"/>
      <c r="D17" s="43"/>
      <c r="E17" s="43"/>
      <c r="F17" s="43"/>
      <c r="G17" s="43"/>
      <c r="H17" s="43"/>
      <c r="I17" s="43"/>
      <c r="J17" s="43"/>
      <c r="K17" s="43"/>
    </row>
    <row r="18" spans="2:13" ht="30" customHeight="1" thickBot="1" x14ac:dyDescent="0.3">
      <c r="B18" s="44">
        <v>2</v>
      </c>
      <c r="C18" s="45" t="str">
        <f ca="1">IF(ISBLANK(INDIRECT(ADDRESS(B18*2+2,3))),"",INDIRECT(ADDRESS(B18*2+2,3)))</f>
        <v>Тихонов</v>
      </c>
      <c r="D18" s="45"/>
      <c r="E18" s="46"/>
      <c r="F18" s="47">
        <v>13</v>
      </c>
      <c r="G18" s="48">
        <v>6</v>
      </c>
      <c r="H18" s="49" t="str">
        <f ca="1">IF(ISBLANK(INDIRECT(ADDRESS(K18*2+2,3))),"",INDIRECT(ADDRESS(K18*2+2,3)))</f>
        <v>Волков</v>
      </c>
      <c r="I18" s="45"/>
      <c r="J18" s="45"/>
      <c r="K18" s="44">
        <v>5</v>
      </c>
      <c r="L18" s="50" t="s">
        <v>6</v>
      </c>
      <c r="M18" s="52"/>
    </row>
    <row r="19" spans="2:13" ht="30" customHeight="1" thickBot="1" x14ac:dyDescent="0.3">
      <c r="B19" s="44">
        <v>3</v>
      </c>
      <c r="C19" s="45" t="str">
        <f ca="1">IF(ISBLANK(INDIRECT(ADDRESS(B19*2+2,3))),"",INDIRECT(ADDRESS(B19*2+2,3)))</f>
        <v>Павлова</v>
      </c>
      <c r="D19" s="45"/>
      <c r="E19" s="46"/>
      <c r="F19" s="47">
        <v>13</v>
      </c>
      <c r="G19" s="48">
        <v>5</v>
      </c>
      <c r="H19" s="49" t="str">
        <f ca="1">IF(ISBLANK(INDIRECT(ADDRESS(K19*2+2,3))),"",INDIRECT(ADDRESS(K19*2+2,3)))</f>
        <v>Глуховский</v>
      </c>
      <c r="I19" s="45"/>
      <c r="J19" s="45"/>
      <c r="K19" s="44">
        <v>4</v>
      </c>
      <c r="L19" s="50" t="s">
        <v>6</v>
      </c>
      <c r="M19" s="52"/>
    </row>
    <row r="20" spans="2:13" ht="30" customHeight="1" x14ac:dyDescent="0.25">
      <c r="M20" s="44"/>
    </row>
    <row r="21" spans="2:13" ht="30" customHeight="1" thickBot="1" x14ac:dyDescent="0.3">
      <c r="B21" s="43" t="s">
        <v>7</v>
      </c>
      <c r="C21" s="43"/>
      <c r="D21" s="43"/>
      <c r="E21" s="43"/>
      <c r="F21" s="43"/>
      <c r="G21" s="43"/>
      <c r="H21" s="43"/>
      <c r="I21" s="43"/>
      <c r="J21" s="43"/>
      <c r="K21" s="43"/>
      <c r="M21" s="44"/>
    </row>
    <row r="22" spans="2:13" ht="30" customHeight="1" thickBot="1" x14ac:dyDescent="0.3">
      <c r="B22" s="44">
        <v>5</v>
      </c>
      <c r="C22" s="45" t="str">
        <f ca="1">IF(ISBLANK(INDIRECT(ADDRESS(B22*2+2,3))),"",INDIRECT(ADDRESS(B22*2+2,3)))</f>
        <v>Волков</v>
      </c>
      <c r="D22" s="45"/>
      <c r="E22" s="46"/>
      <c r="F22" s="47">
        <v>10</v>
      </c>
      <c r="G22" s="48">
        <v>13</v>
      </c>
      <c r="H22" s="49" t="str">
        <f ca="1">IF(ISBLANK(INDIRECT(ADDRESS(K22*2+2,3))),"",INDIRECT(ADDRESS(K22*2+2,3)))</f>
        <v>Павлова</v>
      </c>
      <c r="I22" s="45"/>
      <c r="J22" s="45"/>
      <c r="K22" s="44">
        <v>3</v>
      </c>
      <c r="L22" s="50" t="s">
        <v>6</v>
      </c>
      <c r="M22" s="52"/>
    </row>
    <row r="23" spans="2:13" ht="30" customHeight="1" thickBot="1" x14ac:dyDescent="0.3">
      <c r="B23" s="44">
        <v>1</v>
      </c>
      <c r="C23" s="45" t="str">
        <f ca="1">IF(ISBLANK(INDIRECT(ADDRESS(B23*2+2,3))),"",INDIRECT(ADDRESS(B23*2+2,3)))</f>
        <v>Алкина</v>
      </c>
      <c r="D23" s="45"/>
      <c r="E23" s="46"/>
      <c r="F23" s="47">
        <v>12</v>
      </c>
      <c r="G23" s="48">
        <v>5</v>
      </c>
      <c r="H23" s="49" t="str">
        <f ca="1">IF(ISBLANK(INDIRECT(ADDRESS(K23*2+2,3))),"",INDIRECT(ADDRESS(K23*2+2,3)))</f>
        <v>Тихонов</v>
      </c>
      <c r="I23" s="45"/>
      <c r="J23" s="45"/>
      <c r="K23" s="44">
        <v>2</v>
      </c>
      <c r="L23" s="50" t="s">
        <v>6</v>
      </c>
      <c r="M23" s="52"/>
    </row>
    <row r="24" spans="2:13" ht="30" customHeight="1" x14ac:dyDescent="0.25">
      <c r="M24" s="44"/>
    </row>
    <row r="25" spans="2:13" ht="30" customHeight="1" thickBot="1" x14ac:dyDescent="0.3">
      <c r="B25" s="43" t="s">
        <v>8</v>
      </c>
      <c r="C25" s="43"/>
      <c r="D25" s="43"/>
      <c r="E25" s="43"/>
      <c r="F25" s="43"/>
      <c r="G25" s="43"/>
      <c r="H25" s="43"/>
      <c r="I25" s="43"/>
      <c r="J25" s="43"/>
      <c r="K25" s="43"/>
      <c r="M25" s="44"/>
    </row>
    <row r="26" spans="2:13" ht="30" customHeight="1" thickBot="1" x14ac:dyDescent="0.3">
      <c r="B26" s="44">
        <v>3</v>
      </c>
      <c r="C26" s="45" t="str">
        <f ca="1">IF(ISBLANK(INDIRECT(ADDRESS(B26*2+2,3))),"",INDIRECT(ADDRESS(B26*2+2,3)))</f>
        <v>Павлова</v>
      </c>
      <c r="D26" s="45"/>
      <c r="E26" s="46"/>
      <c r="F26" s="47">
        <v>13</v>
      </c>
      <c r="G26" s="48">
        <v>3</v>
      </c>
      <c r="H26" s="49" t="str">
        <f ca="1">IF(ISBLANK(INDIRECT(ADDRESS(K26*2+2,3))),"",INDIRECT(ADDRESS(K26*2+2,3)))</f>
        <v>Алкина</v>
      </c>
      <c r="I26" s="45"/>
      <c r="J26" s="45"/>
      <c r="K26" s="44">
        <v>1</v>
      </c>
      <c r="L26" s="50" t="s">
        <v>6</v>
      </c>
      <c r="M26" s="52"/>
    </row>
    <row r="27" spans="2:13" ht="30" customHeight="1" thickBot="1" x14ac:dyDescent="0.3">
      <c r="B27" s="44">
        <v>4</v>
      </c>
      <c r="C27" s="45" t="str">
        <f ca="1">IF(ISBLANK(INDIRECT(ADDRESS(B27*2+2,3))),"",INDIRECT(ADDRESS(B27*2+2,3)))</f>
        <v>Глуховский</v>
      </c>
      <c r="D27" s="45"/>
      <c r="E27" s="46"/>
      <c r="F27" s="47">
        <v>6</v>
      </c>
      <c r="G27" s="48">
        <v>13</v>
      </c>
      <c r="H27" s="49" t="str">
        <f ca="1">IF(ISBLANK(INDIRECT(ADDRESS(K27*2+2,3))),"",INDIRECT(ADDRESS(K27*2+2,3)))</f>
        <v>Волков</v>
      </c>
      <c r="I27" s="45"/>
      <c r="J27" s="45"/>
      <c r="K27" s="44">
        <v>5</v>
      </c>
      <c r="L27" s="50" t="s">
        <v>6</v>
      </c>
      <c r="M27" s="52"/>
    </row>
    <row r="28" spans="2:13" ht="30" customHeight="1" x14ac:dyDescent="0.25">
      <c r="M28" s="44"/>
    </row>
    <row r="29" spans="2:13" ht="30" customHeight="1" thickBot="1" x14ac:dyDescent="0.3">
      <c r="B29" s="43" t="s">
        <v>9</v>
      </c>
      <c r="C29" s="43"/>
      <c r="D29" s="43"/>
      <c r="E29" s="43"/>
      <c r="F29" s="43"/>
      <c r="G29" s="43"/>
      <c r="H29" s="43"/>
      <c r="I29" s="43"/>
      <c r="J29" s="43"/>
      <c r="K29" s="43"/>
      <c r="M29" s="44"/>
    </row>
    <row r="30" spans="2:13" ht="30" customHeight="1" thickBot="1" x14ac:dyDescent="0.3">
      <c r="B30" s="44">
        <v>1</v>
      </c>
      <c r="C30" s="45" t="str">
        <f ca="1">IF(ISBLANK(INDIRECT(ADDRESS(B30*2+2,3))),"",INDIRECT(ADDRESS(B30*2+2,3)))</f>
        <v>Алкина</v>
      </c>
      <c r="D30" s="45"/>
      <c r="E30" s="46"/>
      <c r="F30" s="47">
        <v>13</v>
      </c>
      <c r="G30" s="48">
        <v>4</v>
      </c>
      <c r="H30" s="49" t="str">
        <f ca="1">IF(ISBLANK(INDIRECT(ADDRESS(K30*2+2,3))),"",INDIRECT(ADDRESS(K30*2+2,3)))</f>
        <v>Глуховский</v>
      </c>
      <c r="I30" s="45"/>
      <c r="J30" s="45"/>
      <c r="K30" s="44">
        <v>4</v>
      </c>
      <c r="L30" s="50" t="s">
        <v>6</v>
      </c>
      <c r="M30" s="52"/>
    </row>
    <row r="31" spans="2:13" ht="30" customHeight="1" thickBot="1" x14ac:dyDescent="0.3">
      <c r="B31" s="44">
        <v>2</v>
      </c>
      <c r="C31" s="45" t="str">
        <f ca="1">IF(ISBLANK(INDIRECT(ADDRESS(B31*2+2,3))),"",INDIRECT(ADDRESS(B31*2+2,3)))</f>
        <v>Тихонов</v>
      </c>
      <c r="D31" s="45"/>
      <c r="E31" s="46"/>
      <c r="F31" s="47">
        <v>13</v>
      </c>
      <c r="G31" s="48">
        <v>8</v>
      </c>
      <c r="H31" s="49" t="str">
        <f ca="1">IF(ISBLANK(INDIRECT(ADDRESS(K31*2+2,3))),"",INDIRECT(ADDRESS(K31*2+2,3)))</f>
        <v>Павлова</v>
      </c>
      <c r="I31" s="45"/>
      <c r="J31" s="45"/>
      <c r="K31" s="44">
        <v>3</v>
      </c>
      <c r="L31" s="50" t="s">
        <v>6</v>
      </c>
      <c r="M31" s="52"/>
    </row>
    <row r="32" spans="2:13" ht="30" customHeight="1" x14ac:dyDescent="0.25">
      <c r="M32" s="44"/>
    </row>
    <row r="33" spans="2:13" ht="30" customHeight="1" thickBot="1" x14ac:dyDescent="0.3">
      <c r="B33" s="43" t="s">
        <v>10</v>
      </c>
      <c r="C33" s="43"/>
      <c r="D33" s="43"/>
      <c r="E33" s="43"/>
      <c r="F33" s="43"/>
      <c r="G33" s="43"/>
      <c r="H33" s="43"/>
      <c r="I33" s="43"/>
      <c r="J33" s="43"/>
      <c r="K33" s="43"/>
      <c r="M33" s="44"/>
    </row>
    <row r="34" spans="2:13" ht="30" customHeight="1" thickBot="1" x14ac:dyDescent="0.3">
      <c r="B34" s="44">
        <v>4</v>
      </c>
      <c r="C34" s="45" t="str">
        <f ca="1">IF(ISBLANK(INDIRECT(ADDRESS(B34*2+2,3))),"",INDIRECT(ADDRESS(B34*2+2,3)))</f>
        <v>Глуховский</v>
      </c>
      <c r="D34" s="45"/>
      <c r="E34" s="46"/>
      <c r="F34" s="47">
        <v>11</v>
      </c>
      <c r="G34" s="48">
        <v>7</v>
      </c>
      <c r="H34" s="49" t="str">
        <f ca="1">IF(ISBLANK(INDIRECT(ADDRESS(K34*2+2,3))),"",INDIRECT(ADDRESS(K34*2+2,3)))</f>
        <v>Тихонов</v>
      </c>
      <c r="I34" s="45"/>
      <c r="J34" s="45"/>
      <c r="K34" s="44">
        <v>2</v>
      </c>
      <c r="L34" s="50" t="s">
        <v>6</v>
      </c>
      <c r="M34" s="52"/>
    </row>
    <row r="35" spans="2:13" ht="30" customHeight="1" thickBot="1" x14ac:dyDescent="0.3">
      <c r="B35" s="44">
        <v>5</v>
      </c>
      <c r="C35" s="45" t="str">
        <f ca="1">IF(ISBLANK(INDIRECT(ADDRESS(B35*2+2,3))),"",INDIRECT(ADDRESS(B35*2+2,3)))</f>
        <v>Волков</v>
      </c>
      <c r="D35" s="45"/>
      <c r="E35" s="46"/>
      <c r="F35" s="47">
        <v>12</v>
      </c>
      <c r="G35" s="48">
        <v>11</v>
      </c>
      <c r="H35" s="49" t="str">
        <f ca="1">IF(ISBLANK(INDIRECT(ADDRESS(K35*2+2,3))),"",INDIRECT(ADDRESS(K35*2+2,3)))</f>
        <v>Алкина</v>
      </c>
      <c r="I35" s="45"/>
      <c r="J35" s="45"/>
      <c r="K35" s="44">
        <v>1</v>
      </c>
      <c r="L35" s="50" t="s">
        <v>6</v>
      </c>
      <c r="M35" s="52"/>
    </row>
  </sheetData>
  <mergeCells count="47">
    <mergeCell ref="B33:K33"/>
    <mergeCell ref="C34:E34"/>
    <mergeCell ref="H34:J34"/>
    <mergeCell ref="C35:E35"/>
    <mergeCell ref="H35:J35"/>
    <mergeCell ref="C27:E27"/>
    <mergeCell ref="H27:J27"/>
    <mergeCell ref="B29:K29"/>
    <mergeCell ref="C30:E30"/>
    <mergeCell ref="H30:J30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B17:K17"/>
    <mergeCell ref="C18:E18"/>
    <mergeCell ref="H18:J18"/>
    <mergeCell ref="C19:E19"/>
    <mergeCell ref="H19:J1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6:B7"/>
    <mergeCell ref="C6:E7"/>
    <mergeCell ref="K6:K7"/>
    <mergeCell ref="M6:M7"/>
    <mergeCell ref="B8:B9"/>
    <mergeCell ref="C8:E9"/>
    <mergeCell ref="K8:K9"/>
    <mergeCell ref="M8:M9"/>
    <mergeCell ref="B1:K1"/>
    <mergeCell ref="C3:E3"/>
    <mergeCell ref="B4:B5"/>
    <mergeCell ref="C4:E5"/>
    <mergeCell ref="K4:K5"/>
    <mergeCell ref="M4:M5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76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11FE-3AF2-4F1C-8F6D-FEFF70438CB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9609-2657-4ECE-A4DA-64CBBB4E4BEC}">
  <sheetPr>
    <pageSetUpPr fitToPage="1"/>
  </sheetPr>
  <dimension ref="A1:O40"/>
  <sheetViews>
    <sheetView zoomScaleNormal="100" workbookViewId="0">
      <selection activeCell="L33" sqref="L33"/>
    </sheetView>
  </sheetViews>
  <sheetFormatPr defaultRowHeight="15" customHeight="1" x14ac:dyDescent="0.25"/>
  <cols>
    <col min="1" max="1" width="9.140625" style="52"/>
    <col min="2" max="15" width="9.140625" style="51" customWidth="1"/>
    <col min="16" max="16384" width="9.140625" style="51"/>
  </cols>
  <sheetData>
    <row r="1" spans="2:13" ht="59.25" customHeight="1" x14ac:dyDescent="0.25">
      <c r="B1" s="1" t="s">
        <v>29</v>
      </c>
      <c r="C1" s="1"/>
      <c r="D1" s="1"/>
      <c r="E1" s="1"/>
      <c r="F1" s="1"/>
      <c r="G1" s="1"/>
      <c r="H1" s="1"/>
      <c r="I1" s="1"/>
      <c r="J1" s="1"/>
      <c r="K1" s="1"/>
    </row>
    <row r="2" spans="2:13" ht="15" customHeight="1" x14ac:dyDescent="0.25">
      <c r="C2" s="62"/>
    </row>
    <row r="3" spans="2:13" ht="15" customHeight="1" x14ac:dyDescent="0.25">
      <c r="C3" s="62"/>
    </row>
    <row r="4" spans="2:13" ht="15" customHeight="1" x14ac:dyDescent="0.25">
      <c r="B4" s="56" t="s">
        <v>13</v>
      </c>
      <c r="C4" s="55"/>
      <c r="D4" s="54">
        <v>13</v>
      </c>
      <c r="E4" s="61"/>
    </row>
    <row r="5" spans="2:13" ht="15" customHeight="1" x14ac:dyDescent="0.25">
      <c r="C5" s="62"/>
      <c r="E5" s="59"/>
    </row>
    <row r="6" spans="2:13" ht="15" customHeight="1" x14ac:dyDescent="0.25">
      <c r="B6" s="50" t="s">
        <v>6</v>
      </c>
      <c r="C6" s="62"/>
      <c r="E6" s="57"/>
      <c r="F6" s="58" t="str">
        <f>IF(ISBLANK(D4),"",IF(D4&gt;D8,B4,B8))</f>
        <v>Лукьянова</v>
      </c>
      <c r="G6" s="55"/>
      <c r="H6" s="54">
        <v>13</v>
      </c>
      <c r="I6" s="61"/>
    </row>
    <row r="7" spans="2:13" ht="15" customHeight="1" x14ac:dyDescent="0.25">
      <c r="C7" s="62"/>
      <c r="E7" s="57"/>
      <c r="I7" s="59"/>
    </row>
    <row r="8" spans="2:13" ht="15" customHeight="1" x14ac:dyDescent="0.25">
      <c r="B8" s="56" t="s">
        <v>24</v>
      </c>
      <c r="C8" s="55"/>
      <c r="D8" s="54">
        <v>5</v>
      </c>
      <c r="E8" s="53"/>
      <c r="I8" s="57"/>
    </row>
    <row r="9" spans="2:13" ht="15" customHeight="1" x14ac:dyDescent="0.25">
      <c r="C9" s="62"/>
      <c r="I9" s="57"/>
    </row>
    <row r="10" spans="2:13" ht="15" customHeight="1" x14ac:dyDescent="0.25">
      <c r="C10" s="62"/>
      <c r="F10" s="50" t="s">
        <v>6</v>
      </c>
      <c r="H10" s="62"/>
      <c r="I10" s="57"/>
      <c r="J10" s="58" t="str">
        <f>IF(ISBLANK(H6),"",IF(H6&gt;H14,F6,F14))</f>
        <v>Лукьянова</v>
      </c>
      <c r="K10" s="56"/>
      <c r="L10" s="54">
        <v>10</v>
      </c>
      <c r="M10" s="61"/>
    </row>
    <row r="11" spans="2:13" ht="15" customHeight="1" x14ac:dyDescent="0.25">
      <c r="C11" s="62"/>
      <c r="I11" s="57"/>
      <c r="M11" s="59"/>
    </row>
    <row r="12" spans="2:13" ht="15" customHeight="1" x14ac:dyDescent="0.25">
      <c r="B12" s="56" t="s">
        <v>23</v>
      </c>
      <c r="C12" s="55"/>
      <c r="D12" s="54">
        <v>7</v>
      </c>
      <c r="E12" s="61"/>
      <c r="I12" s="57"/>
      <c r="M12" s="57"/>
    </row>
    <row r="13" spans="2:13" ht="15" customHeight="1" x14ac:dyDescent="0.25">
      <c r="C13" s="62"/>
      <c r="E13" s="59"/>
      <c r="I13" s="57"/>
      <c r="M13" s="57"/>
    </row>
    <row r="14" spans="2:13" ht="15" customHeight="1" x14ac:dyDescent="0.25">
      <c r="B14" s="50" t="s">
        <v>6</v>
      </c>
      <c r="C14" s="62"/>
      <c r="E14" s="57"/>
      <c r="F14" s="58" t="str">
        <f>IF(ISBLANK(D12),"",IF(D12&gt;D16,B12,B16))</f>
        <v>Воронов</v>
      </c>
      <c r="G14" s="55"/>
      <c r="H14" s="54">
        <v>9</v>
      </c>
      <c r="I14" s="53"/>
      <c r="M14" s="57"/>
    </row>
    <row r="15" spans="2:13" ht="15" customHeight="1" x14ac:dyDescent="0.25">
      <c r="E15" s="57"/>
      <c r="M15" s="57"/>
    </row>
    <row r="16" spans="2:13" ht="15" customHeight="1" x14ac:dyDescent="0.25">
      <c r="B16" s="56" t="s">
        <v>19</v>
      </c>
      <c r="C16" s="55"/>
      <c r="D16" s="54">
        <v>13</v>
      </c>
      <c r="E16" s="53"/>
      <c r="M16" s="57"/>
    </row>
    <row r="17" spans="2:15" ht="15" customHeight="1" x14ac:dyDescent="0.25">
      <c r="M17" s="57"/>
    </row>
    <row r="18" spans="2:15" ht="15" customHeight="1" x14ac:dyDescent="0.25">
      <c r="B18" s="50"/>
      <c r="J18" s="50" t="s">
        <v>6</v>
      </c>
      <c r="L18" s="62"/>
      <c r="M18" s="57"/>
      <c r="N18" s="58" t="str">
        <f>IF(ISBLANK(L10),"",IF(L10&gt;L26,J10,J26))</f>
        <v>Воробьёва</v>
      </c>
      <c r="O18" s="56"/>
    </row>
    <row r="19" spans="2:15" ht="15" customHeight="1" x14ac:dyDescent="0.25">
      <c r="M19" s="57"/>
    </row>
    <row r="20" spans="2:15" ht="15" customHeight="1" x14ac:dyDescent="0.25">
      <c r="B20" s="56" t="s">
        <v>25</v>
      </c>
      <c r="C20" s="55"/>
      <c r="D20" s="54">
        <v>13</v>
      </c>
      <c r="E20" s="61"/>
      <c r="M20" s="57"/>
    </row>
    <row r="21" spans="2:15" ht="15" customHeight="1" x14ac:dyDescent="0.25">
      <c r="E21" s="59"/>
      <c r="M21" s="57"/>
    </row>
    <row r="22" spans="2:15" ht="15" customHeight="1" x14ac:dyDescent="0.25">
      <c r="B22" s="50" t="s">
        <v>6</v>
      </c>
      <c r="C22" s="62"/>
      <c r="E22" s="57"/>
      <c r="F22" s="58" t="str">
        <f>IF(ISBLANK(D20),"",IF(D20&gt;D24,B20,B24))</f>
        <v>Павлова</v>
      </c>
      <c r="G22" s="55"/>
      <c r="H22" s="54">
        <v>12</v>
      </c>
      <c r="I22" s="61"/>
      <c r="M22" s="57"/>
    </row>
    <row r="23" spans="2:15" ht="15" customHeight="1" x14ac:dyDescent="0.25">
      <c r="E23" s="57"/>
      <c r="I23" s="59"/>
      <c r="M23" s="57"/>
    </row>
    <row r="24" spans="2:15" ht="15" customHeight="1" x14ac:dyDescent="0.25">
      <c r="B24" s="56" t="s">
        <v>16</v>
      </c>
      <c r="C24" s="55"/>
      <c r="D24" s="54">
        <v>1</v>
      </c>
      <c r="E24" s="53"/>
      <c r="I24" s="57"/>
      <c r="M24" s="57"/>
    </row>
    <row r="25" spans="2:15" ht="15" customHeight="1" x14ac:dyDescent="0.25">
      <c r="I25" s="57"/>
      <c r="M25" s="57"/>
    </row>
    <row r="26" spans="2:15" ht="15" customHeight="1" x14ac:dyDescent="0.25">
      <c r="F26" s="50" t="s">
        <v>6</v>
      </c>
      <c r="H26" s="62"/>
      <c r="I26" s="57"/>
      <c r="J26" s="58" t="str">
        <f>IF(ISBLANK(H22),"",IF(H22&gt;H30,F22,F30))</f>
        <v>Воробьёва</v>
      </c>
      <c r="K26" s="55"/>
      <c r="L26" s="54">
        <v>13</v>
      </c>
      <c r="M26" s="53"/>
    </row>
    <row r="27" spans="2:15" ht="15" customHeight="1" x14ac:dyDescent="0.25">
      <c r="I27" s="57"/>
    </row>
    <row r="28" spans="2:15" ht="15" customHeight="1" x14ac:dyDescent="0.25">
      <c r="B28" s="56" t="s">
        <v>18</v>
      </c>
      <c r="C28" s="55"/>
      <c r="D28" s="54">
        <v>13</v>
      </c>
      <c r="E28" s="61"/>
      <c r="I28" s="57"/>
    </row>
    <row r="29" spans="2:15" ht="15" customHeight="1" x14ac:dyDescent="0.25">
      <c r="E29" s="59"/>
      <c r="I29" s="57"/>
    </row>
    <row r="30" spans="2:15" ht="15" customHeight="1" x14ac:dyDescent="0.25">
      <c r="B30" s="50" t="s">
        <v>6</v>
      </c>
      <c r="C30" s="62"/>
      <c r="E30" s="57"/>
      <c r="F30" s="58" t="str">
        <f>IF(ISBLANK(D28),"",IF(D28&gt;D32,B28,B32))</f>
        <v>Воробьёва</v>
      </c>
      <c r="G30" s="55"/>
      <c r="H30" s="54">
        <v>13</v>
      </c>
      <c r="I30" s="53"/>
    </row>
    <row r="31" spans="2:15" ht="15" customHeight="1" x14ac:dyDescent="0.25">
      <c r="E31" s="57"/>
    </row>
    <row r="32" spans="2:15" ht="15" customHeight="1" x14ac:dyDescent="0.25">
      <c r="B32" s="56" t="s">
        <v>15</v>
      </c>
      <c r="C32" s="55"/>
      <c r="D32" s="54">
        <v>12</v>
      </c>
      <c r="E32" s="53"/>
    </row>
    <row r="36" spans="2:7" ht="15" customHeight="1" x14ac:dyDescent="0.25">
      <c r="B36" s="56" t="str">
        <f>IF(ISBLANK(H6),"",IF(H6&gt;H14,F14,F6))</f>
        <v>Воронов</v>
      </c>
      <c r="C36" s="55"/>
      <c r="D36" s="54">
        <v>7</v>
      </c>
      <c r="E36" s="61"/>
      <c r="F36" s="60"/>
      <c r="G36" s="60"/>
    </row>
    <row r="37" spans="2:7" ht="15" customHeight="1" x14ac:dyDescent="0.25">
      <c r="E37" s="59"/>
    </row>
    <row r="38" spans="2:7" ht="15" customHeight="1" x14ac:dyDescent="0.25">
      <c r="B38" s="50" t="s">
        <v>6</v>
      </c>
      <c r="E38" s="57"/>
      <c r="F38" s="58" t="str">
        <f>IF(ISBLANK(D36),"",IF(D36&gt;D40,B36,B40))</f>
        <v>Павлова</v>
      </c>
      <c r="G38" s="56"/>
    </row>
    <row r="39" spans="2:7" ht="15" customHeight="1" x14ac:dyDescent="0.25">
      <c r="E39" s="57"/>
    </row>
    <row r="40" spans="2:7" ht="15" customHeight="1" x14ac:dyDescent="0.25">
      <c r="B40" s="56" t="str">
        <f>IF(ISBLANK(H22),"",IF(H22&gt;H30,F30,F22))</f>
        <v>Павлова</v>
      </c>
      <c r="C40" s="55"/>
      <c r="D40" s="54">
        <v>13</v>
      </c>
      <c r="E40" s="53"/>
    </row>
  </sheetData>
  <mergeCells count="20">
    <mergeCell ref="F38:G38"/>
    <mergeCell ref="B40:C40"/>
    <mergeCell ref="J26:K26"/>
    <mergeCell ref="B28:C28"/>
    <mergeCell ref="F30:G30"/>
    <mergeCell ref="B32:C32"/>
    <mergeCell ref="B36:C36"/>
    <mergeCell ref="F36:G36"/>
    <mergeCell ref="F14:G14"/>
    <mergeCell ref="B16:C16"/>
    <mergeCell ref="N18:O18"/>
    <mergeCell ref="B20:C20"/>
    <mergeCell ref="F22:G22"/>
    <mergeCell ref="B24:C24"/>
    <mergeCell ref="B1:K1"/>
    <mergeCell ref="B4:C4"/>
    <mergeCell ref="F6:G6"/>
    <mergeCell ref="B8:C8"/>
    <mergeCell ref="J10:K10"/>
    <mergeCell ref="B12:C12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A5EB7-BA6E-4A28-8FED-4439EAA60CD0}">
  <sheetPr>
    <pageSetUpPr fitToPage="1"/>
  </sheetPr>
  <dimension ref="A1:N42"/>
  <sheetViews>
    <sheetView workbookViewId="0">
      <selection activeCell="M21" sqref="M21"/>
    </sheetView>
  </sheetViews>
  <sheetFormatPr defaultRowHeight="15" x14ac:dyDescent="0.25"/>
  <cols>
    <col min="1" max="1" width="4" style="52" customWidth="1"/>
    <col min="2" max="15" width="10.28515625" customWidth="1"/>
  </cols>
  <sheetData>
    <row r="1" spans="2:14" ht="59.2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4" ht="15.75" thickBot="1" x14ac:dyDescent="0.3"/>
    <row r="3" spans="2:14" ht="30" customHeight="1" thickBot="1" x14ac:dyDescent="0.3">
      <c r="B3" s="2"/>
      <c r="C3" s="3" t="s">
        <v>0</v>
      </c>
      <c r="D3" s="4"/>
      <c r="E3" s="5"/>
      <c r="F3" s="6">
        <v>1</v>
      </c>
      <c r="G3" s="6">
        <v>2</v>
      </c>
      <c r="H3" s="6">
        <v>3</v>
      </c>
      <c r="I3" s="7">
        <v>4</v>
      </c>
      <c r="J3" s="7">
        <v>5</v>
      </c>
      <c r="K3" s="7">
        <v>6</v>
      </c>
      <c r="L3" s="8" t="s">
        <v>1</v>
      </c>
      <c r="M3" s="6" t="s">
        <v>2</v>
      </c>
      <c r="N3" s="9" t="s">
        <v>3</v>
      </c>
    </row>
    <row r="4" spans="2:14" ht="24" customHeight="1" x14ac:dyDescent="0.25">
      <c r="B4" s="86">
        <v>1</v>
      </c>
      <c r="C4" s="87" t="s">
        <v>30</v>
      </c>
      <c r="D4" s="88"/>
      <c r="E4" s="89"/>
      <c r="F4" s="90" t="s">
        <v>4</v>
      </c>
      <c r="G4" s="91" t="str">
        <f ca="1">INDIRECT(ADDRESS(27,6))&amp;":"&amp;INDIRECT(ADDRESS(27,7))</f>
        <v>13:9</v>
      </c>
      <c r="H4" s="91" t="str">
        <f ca="1">INDIRECT(ADDRESS(31,7))&amp;":"&amp;INDIRECT(ADDRESS(31,6))</f>
        <v>11:6</v>
      </c>
      <c r="I4" s="91" t="str">
        <f ca="1">INDIRECT(ADDRESS(36,6))&amp;":"&amp;INDIRECT(ADDRESS(36,7))</f>
        <v>13:2</v>
      </c>
      <c r="J4" s="91" t="str">
        <f ca="1">INDIRECT(ADDRESS(42,7))&amp;":"&amp;INDIRECT(ADDRESS(42,6))</f>
        <v>3:13</v>
      </c>
      <c r="K4" s="92" t="str">
        <f ca="1">INDIRECT(ADDRESS(20,6))&amp;":"&amp;INDIRECT(ADDRESS(20,7))</f>
        <v>13:5</v>
      </c>
      <c r="L4" s="121">
        <f ca="1">IF(COUNT(F5:K5)=0,"",COUNTIF(F5:K5,"&gt;0")+0.5*COUNTIF(F5:K5,0))</f>
        <v>4</v>
      </c>
      <c r="M4" s="94"/>
      <c r="N4" s="122">
        <v>3</v>
      </c>
    </row>
    <row r="5" spans="2:14" ht="24" customHeight="1" x14ac:dyDescent="0.25">
      <c r="B5" s="82"/>
      <c r="C5" s="73"/>
      <c r="D5" s="74"/>
      <c r="E5" s="75"/>
      <c r="F5" s="96" t="s">
        <v>4</v>
      </c>
      <c r="G5" s="80">
        <f ca="1">IF(LEN(INDIRECT(ADDRESS(ROW()-1, COLUMN())))=1,"",INDIRECT(ADDRESS(27,6))-INDIRECT(ADDRESS(27,7)))</f>
        <v>4</v>
      </c>
      <c r="H5" s="80">
        <f ca="1">IF(LEN(INDIRECT(ADDRESS(ROW()-1, COLUMN())))=1,"",INDIRECT(ADDRESS(31,7))-INDIRECT(ADDRESS(31,6)))</f>
        <v>5</v>
      </c>
      <c r="I5" s="80">
        <f ca="1">IF(LEN(INDIRECT(ADDRESS(ROW()-1, COLUMN())))=1,"",INDIRECT(ADDRESS(36,6))-INDIRECT(ADDRESS(36,7)))</f>
        <v>11</v>
      </c>
      <c r="J5" s="80">
        <f ca="1">IF(LEN(INDIRECT(ADDRESS(ROW()-1, COLUMN())))=1,"",INDIRECT(ADDRESS(42,7))-INDIRECT(ADDRESS(42,6)))</f>
        <v>-10</v>
      </c>
      <c r="K5" s="85">
        <f ca="1">IF(LEN(INDIRECT(ADDRESS(ROW()-1, COLUMN())))=1,"",INDIRECT(ADDRESS(20,6))-INDIRECT(ADDRESS(20,7)))</f>
        <v>8</v>
      </c>
      <c r="L5" s="123"/>
      <c r="M5" s="80">
        <f ca="1">IF(COUNT(F5:K5)=0,"",SUM(F5:K5))</f>
        <v>18</v>
      </c>
      <c r="N5" s="124"/>
    </row>
    <row r="6" spans="2:14" ht="24" customHeight="1" x14ac:dyDescent="0.25">
      <c r="B6" s="27">
        <v>2</v>
      </c>
      <c r="C6" s="19" t="s">
        <v>31</v>
      </c>
      <c r="D6" s="20"/>
      <c r="E6" s="21"/>
      <c r="F6" s="28" t="str">
        <f ca="1">INDIRECT(ADDRESS(27,7))&amp;":"&amp;INDIRECT(ADDRESS(27,6))</f>
        <v>9:13</v>
      </c>
      <c r="G6" s="29" t="s">
        <v>4</v>
      </c>
      <c r="H6" s="30" t="str">
        <f ca="1">INDIRECT(ADDRESS(37,6))&amp;":"&amp;INDIRECT(ADDRESS(37,7))</f>
        <v>8:13</v>
      </c>
      <c r="I6" s="30" t="str">
        <f ca="1">INDIRECT(ADDRESS(41,7))&amp;":"&amp;INDIRECT(ADDRESS(41,6))</f>
        <v>13:10</v>
      </c>
      <c r="J6" s="30" t="str">
        <f ca="1">INDIRECT(ADDRESS(21,6))&amp;":"&amp;INDIRECT(ADDRESS(21,7))</f>
        <v>6:13</v>
      </c>
      <c r="K6" s="31" t="str">
        <f ca="1">INDIRECT(ADDRESS(30,6))&amp;":"&amp;INDIRECT(ADDRESS(30,7))</f>
        <v>4:13</v>
      </c>
      <c r="L6" s="25">
        <f ca="1">IF(COUNT(F7:K7)=0,"",COUNTIF(F7:K7,"&gt;0")+0.5*COUNTIF(F7:K7,0))</f>
        <v>1</v>
      </c>
      <c r="M6" s="23"/>
      <c r="N6" s="32">
        <v>5</v>
      </c>
    </row>
    <row r="7" spans="2:14" ht="24" customHeight="1" x14ac:dyDescent="0.25">
      <c r="B7" s="18"/>
      <c r="C7" s="19"/>
      <c r="D7" s="20"/>
      <c r="E7" s="21"/>
      <c r="F7" s="33">
        <f ca="1">IF(LEN(INDIRECT(ADDRESS(ROW()-1, COLUMN())))=1,"",INDIRECT(ADDRESS(27,7))-INDIRECT(ADDRESS(27,6)))</f>
        <v>-4</v>
      </c>
      <c r="G7" s="34" t="s">
        <v>4</v>
      </c>
      <c r="H7" s="23">
        <f ca="1">IF(LEN(INDIRECT(ADDRESS(ROW()-1, COLUMN())))=1,"",INDIRECT(ADDRESS(37,6))-INDIRECT(ADDRESS(37,7)))</f>
        <v>-5</v>
      </c>
      <c r="I7" s="23">
        <f ca="1">IF(LEN(INDIRECT(ADDRESS(ROW()-1, COLUMN())))=1,"",INDIRECT(ADDRESS(41,7))-INDIRECT(ADDRESS(41,6)))</f>
        <v>3</v>
      </c>
      <c r="J7" s="23">
        <f ca="1">IF(LEN(INDIRECT(ADDRESS(ROW()-1, COLUMN())))=1,"",INDIRECT(ADDRESS(21,6))-INDIRECT(ADDRESS(21,7)))</f>
        <v>-7</v>
      </c>
      <c r="K7" s="24">
        <f ca="1">IF(LEN(INDIRECT(ADDRESS(ROW()-1, COLUMN())))=1,"",INDIRECT(ADDRESS(30,6))-INDIRECT(ADDRESS(30,7)))</f>
        <v>-9</v>
      </c>
      <c r="L7" s="25"/>
      <c r="M7" s="23">
        <f ca="1">IF(COUNT(F7:K7)=0,"",SUM(F7:K7))</f>
        <v>-22</v>
      </c>
      <c r="N7" s="26"/>
    </row>
    <row r="8" spans="2:14" ht="24" customHeight="1" x14ac:dyDescent="0.25">
      <c r="B8" s="72">
        <v>3</v>
      </c>
      <c r="C8" s="73" t="s">
        <v>25</v>
      </c>
      <c r="D8" s="74"/>
      <c r="E8" s="75"/>
      <c r="F8" s="76" t="str">
        <f ca="1">INDIRECT(ADDRESS(31,6))&amp;":"&amp;INDIRECT(ADDRESS(31,7))</f>
        <v>6:11</v>
      </c>
      <c r="G8" s="77" t="str">
        <f ca="1">INDIRECT(ADDRESS(37,7))&amp;":"&amp;INDIRECT(ADDRESS(37,6))</f>
        <v>13:8</v>
      </c>
      <c r="H8" s="77" t="s">
        <v>4</v>
      </c>
      <c r="I8" s="77" t="str">
        <f ca="1">INDIRECT(ADDRESS(22,6))&amp;":"&amp;INDIRECT(ADDRESS(22,7))</f>
        <v>13:10</v>
      </c>
      <c r="J8" s="77" t="str">
        <f ca="1">INDIRECT(ADDRESS(26,7))&amp;":"&amp;INDIRECT(ADDRESS(26,6))</f>
        <v>13:5</v>
      </c>
      <c r="K8" s="78" t="str">
        <f ca="1">INDIRECT(ADDRESS(40,6))&amp;":"&amp;INDIRECT(ADDRESS(40,7))</f>
        <v>13:11</v>
      </c>
      <c r="L8" s="123">
        <f ca="1">IF(COUNT(F9:K9)=0,"",COUNTIF(F9:K9,"&gt;0")+0.5*COUNTIF(F9:K9,0))</f>
        <v>4</v>
      </c>
      <c r="M8" s="80"/>
      <c r="N8" s="125">
        <v>1</v>
      </c>
    </row>
    <row r="9" spans="2:14" ht="24" customHeight="1" x14ac:dyDescent="0.25">
      <c r="B9" s="82"/>
      <c r="C9" s="73"/>
      <c r="D9" s="74"/>
      <c r="E9" s="75"/>
      <c r="F9" s="83">
        <f ca="1">IF(LEN(INDIRECT(ADDRESS(ROW()-1, COLUMN())))=1,"",INDIRECT(ADDRESS(31,6))-INDIRECT(ADDRESS(31,7)))</f>
        <v>-5</v>
      </c>
      <c r="G9" s="80">
        <f ca="1">IF(LEN(INDIRECT(ADDRESS(ROW()-1, COLUMN())))=1,"",INDIRECT(ADDRESS(37,7))-INDIRECT(ADDRESS(37,6)))</f>
        <v>5</v>
      </c>
      <c r="H9" s="84" t="s">
        <v>4</v>
      </c>
      <c r="I9" s="80">
        <f ca="1">IF(LEN(INDIRECT(ADDRESS(ROW()-1, COLUMN())))=1,"",INDIRECT(ADDRESS(22,6))-INDIRECT(ADDRESS(22,7)))</f>
        <v>3</v>
      </c>
      <c r="J9" s="80">
        <f ca="1">IF(LEN(INDIRECT(ADDRESS(ROW()-1, COLUMN())))=1,"",INDIRECT(ADDRESS(26,7))-INDIRECT(ADDRESS(26,6)))</f>
        <v>8</v>
      </c>
      <c r="K9" s="85">
        <f ca="1">IF(LEN(INDIRECT(ADDRESS(ROW()-1, COLUMN())))=1,"",INDIRECT(ADDRESS(40,6))-INDIRECT(ADDRESS(40,7)))</f>
        <v>2</v>
      </c>
      <c r="L9" s="123"/>
      <c r="M9" s="80">
        <f ca="1">IF(COUNT(F9:K9)=0,"",SUM(F9:K9))</f>
        <v>13</v>
      </c>
      <c r="N9" s="124"/>
    </row>
    <row r="10" spans="2:14" ht="24" customHeight="1" x14ac:dyDescent="0.25">
      <c r="B10" s="27">
        <v>4</v>
      </c>
      <c r="C10" s="19" t="s">
        <v>32</v>
      </c>
      <c r="D10" s="20"/>
      <c r="E10" s="21"/>
      <c r="F10" s="28" t="str">
        <f ca="1">INDIRECT(ADDRESS(36,7))&amp;":"&amp;INDIRECT(ADDRESS(36,6))</f>
        <v>2:13</v>
      </c>
      <c r="G10" s="30" t="str">
        <f ca="1">INDIRECT(ADDRESS(41,6))&amp;":"&amp;INDIRECT(ADDRESS(41,7))</f>
        <v>10:13</v>
      </c>
      <c r="H10" s="30" t="str">
        <f ca="1">INDIRECT(ADDRESS(22,7))&amp;":"&amp;INDIRECT(ADDRESS(22,6))</f>
        <v>10:13</v>
      </c>
      <c r="I10" s="29" t="s">
        <v>4</v>
      </c>
      <c r="J10" s="30" t="str">
        <f ca="1">INDIRECT(ADDRESS(32,6))&amp;":"&amp;INDIRECT(ADDRESS(32,7))</f>
        <v>0:13</v>
      </c>
      <c r="K10" s="31" t="str">
        <f ca="1">INDIRECT(ADDRESS(25,7))&amp;":"&amp;INDIRECT(ADDRESS(25,6))</f>
        <v>4:13</v>
      </c>
      <c r="L10" s="25">
        <f ca="1">IF(COUNT(F11:K11)=0,"",COUNTIF(F11:K11,"&gt;0")+0.5*COUNTIF(F11:K11,0))</f>
        <v>0</v>
      </c>
      <c r="M10" s="23"/>
      <c r="N10" s="32">
        <v>6</v>
      </c>
    </row>
    <row r="11" spans="2:14" ht="24" customHeight="1" x14ac:dyDescent="0.25">
      <c r="B11" s="18"/>
      <c r="C11" s="19"/>
      <c r="D11" s="20"/>
      <c r="E11" s="21"/>
      <c r="F11" s="33">
        <f ca="1">IF(LEN(INDIRECT(ADDRESS(ROW()-1, COLUMN())))=1,"",INDIRECT(ADDRESS(36,7))-INDIRECT(ADDRESS(36,6)))</f>
        <v>-11</v>
      </c>
      <c r="G11" s="23">
        <f ca="1">IF(LEN(INDIRECT(ADDRESS(ROW()-1, COLUMN())))=1,"",INDIRECT(ADDRESS(41,6))-INDIRECT(ADDRESS(41,7)))</f>
        <v>-3</v>
      </c>
      <c r="H11" s="23">
        <f ca="1">IF(LEN(INDIRECT(ADDRESS(ROW()-1, COLUMN())))=1,"",INDIRECT(ADDRESS(22,7))-INDIRECT(ADDRESS(22,6)))</f>
        <v>-3</v>
      </c>
      <c r="I11" s="34" t="s">
        <v>4</v>
      </c>
      <c r="J11" s="23">
        <f ca="1">IF(LEN(INDIRECT(ADDRESS(ROW()-1, COLUMN())))=1,"",INDIRECT(ADDRESS(32,6))-INDIRECT(ADDRESS(32,7)))</f>
        <v>-13</v>
      </c>
      <c r="K11" s="24">
        <f ca="1">IF(LEN(INDIRECT(ADDRESS(ROW()-1, COLUMN())))=1,"",INDIRECT(ADDRESS(25,7))-INDIRECT(ADDRESS(25,6)))</f>
        <v>-9</v>
      </c>
      <c r="L11" s="25"/>
      <c r="M11" s="23">
        <f ca="1">IF(COUNT(F11:K11)=0,"",SUM(F11:K11))</f>
        <v>-39</v>
      </c>
      <c r="N11" s="26"/>
    </row>
    <row r="12" spans="2:14" ht="24" customHeight="1" x14ac:dyDescent="0.25">
      <c r="B12" s="72">
        <v>5</v>
      </c>
      <c r="C12" s="73" t="s">
        <v>33</v>
      </c>
      <c r="D12" s="74"/>
      <c r="E12" s="75"/>
      <c r="F12" s="76" t="str">
        <f ca="1">INDIRECT(ADDRESS(42,6))&amp;":"&amp;INDIRECT(ADDRESS(42,7))</f>
        <v>13:3</v>
      </c>
      <c r="G12" s="77" t="str">
        <f ca="1">INDIRECT(ADDRESS(21,7))&amp;":"&amp;INDIRECT(ADDRESS(21,6))</f>
        <v>13:6</v>
      </c>
      <c r="H12" s="77" t="str">
        <f ca="1">INDIRECT(ADDRESS(26,6))&amp;":"&amp;INDIRECT(ADDRESS(26,7))</f>
        <v>5:13</v>
      </c>
      <c r="I12" s="77" t="str">
        <f ca="1">INDIRECT(ADDRESS(32,7))&amp;":"&amp;INDIRECT(ADDRESS(32,6))</f>
        <v>13:0</v>
      </c>
      <c r="J12" s="77" t="s">
        <v>4</v>
      </c>
      <c r="K12" s="78" t="str">
        <f ca="1">INDIRECT(ADDRESS(35,7))&amp;":"&amp;INDIRECT(ADDRESS(35,6))</f>
        <v>13:5</v>
      </c>
      <c r="L12" s="123">
        <f ca="1">IF(COUNT(F13:K13)=0,"",COUNTIF(F13:K13,"&gt;0")+0.5*COUNTIF(F13:K13,0))</f>
        <v>4</v>
      </c>
      <c r="M12" s="80"/>
      <c r="N12" s="125">
        <v>2</v>
      </c>
    </row>
    <row r="13" spans="2:14" ht="24" customHeight="1" x14ac:dyDescent="0.25">
      <c r="B13" s="82"/>
      <c r="C13" s="73"/>
      <c r="D13" s="74"/>
      <c r="E13" s="75"/>
      <c r="F13" s="83">
        <f ca="1">IF(LEN(INDIRECT(ADDRESS(ROW()-1, COLUMN())))=1,"",INDIRECT(ADDRESS(42,6))-INDIRECT(ADDRESS(42,7)))</f>
        <v>10</v>
      </c>
      <c r="G13" s="80">
        <f ca="1">IF(LEN(INDIRECT(ADDRESS(ROW()-1, COLUMN())))=1,"",INDIRECT(ADDRESS(21,7))-INDIRECT(ADDRESS(21,6)))</f>
        <v>7</v>
      </c>
      <c r="H13" s="80">
        <f ca="1">IF(LEN(INDIRECT(ADDRESS(ROW()-1, COLUMN())))=1,"",INDIRECT(ADDRESS(26,6))-INDIRECT(ADDRESS(26,7)))</f>
        <v>-8</v>
      </c>
      <c r="I13" s="80">
        <f ca="1">IF(LEN(INDIRECT(ADDRESS(ROW()-1, COLUMN())))=1,"",INDIRECT(ADDRESS(32,7))-INDIRECT(ADDRESS(32,6)))</f>
        <v>13</v>
      </c>
      <c r="J13" s="84" t="s">
        <v>4</v>
      </c>
      <c r="K13" s="85">
        <f ca="1">IF(LEN(INDIRECT(ADDRESS(ROW()-1, COLUMN())))=1,"",INDIRECT(ADDRESS(35,7))-INDIRECT(ADDRESS(35,6)))</f>
        <v>8</v>
      </c>
      <c r="L13" s="123"/>
      <c r="M13" s="80">
        <f ca="1">IF(COUNT(F13:K13)=0,"",SUM(F13:K13))</f>
        <v>30</v>
      </c>
      <c r="N13" s="124"/>
    </row>
    <row r="14" spans="2:14" ht="24" customHeight="1" x14ac:dyDescent="0.25">
      <c r="B14" s="72">
        <v>6</v>
      </c>
      <c r="C14" s="73" t="s">
        <v>34</v>
      </c>
      <c r="D14" s="74"/>
      <c r="E14" s="75"/>
      <c r="F14" s="76" t="str">
        <f ca="1">INDIRECT(ADDRESS(20,7))&amp;":"&amp;INDIRECT(ADDRESS(20,6))</f>
        <v>5:13</v>
      </c>
      <c r="G14" s="77" t="str">
        <f ca="1">INDIRECT(ADDRESS(30,7))&amp;":"&amp;INDIRECT(ADDRESS(30,6))</f>
        <v>13:4</v>
      </c>
      <c r="H14" s="77" t="str">
        <f ca="1">INDIRECT(ADDRESS(40,7))&amp;":"&amp;INDIRECT(ADDRESS(40,6))</f>
        <v>11:13</v>
      </c>
      <c r="I14" s="77" t="str">
        <f ca="1">INDIRECT(ADDRESS(25,6))&amp;":"&amp;INDIRECT(ADDRESS(25,7))</f>
        <v>13:4</v>
      </c>
      <c r="J14" s="77" t="str">
        <f ca="1">INDIRECT(ADDRESS(35,6))&amp;":"&amp;INDIRECT(ADDRESS(35,7))</f>
        <v>5:13</v>
      </c>
      <c r="K14" s="78" t="s">
        <v>4</v>
      </c>
      <c r="L14" s="123">
        <f ca="1">IF(COUNT(F15:K15)=0,"",COUNTIF(F15:K15,"&gt;0")+0.5*COUNTIF(F15:K15,0))</f>
        <v>2</v>
      </c>
      <c r="M14" s="80"/>
      <c r="N14" s="125">
        <v>4</v>
      </c>
    </row>
    <row r="15" spans="2:14" ht="24" customHeight="1" thickBot="1" x14ac:dyDescent="0.3">
      <c r="B15" s="97"/>
      <c r="C15" s="98"/>
      <c r="D15" s="99"/>
      <c r="E15" s="100"/>
      <c r="F15" s="101">
        <f ca="1">IF(LEN(INDIRECT(ADDRESS(ROW()-1, COLUMN())))=1,"",INDIRECT(ADDRESS(20,7))-INDIRECT(ADDRESS(20,6)))</f>
        <v>-8</v>
      </c>
      <c r="G15" s="102">
        <f ca="1">IF(LEN(INDIRECT(ADDRESS(ROW()-1, COLUMN())))=1,"",INDIRECT(ADDRESS(30,7))-INDIRECT(ADDRESS(30,6)))</f>
        <v>9</v>
      </c>
      <c r="H15" s="102">
        <f ca="1">IF(LEN(INDIRECT(ADDRESS(ROW()-1, COLUMN())))=1,"",INDIRECT(ADDRESS(40,7))-INDIRECT(ADDRESS(40,6)))</f>
        <v>-2</v>
      </c>
      <c r="I15" s="102">
        <f ca="1">IF(LEN(INDIRECT(ADDRESS(ROW()-1, COLUMN())))=1,"",INDIRECT(ADDRESS(25,6))-INDIRECT(ADDRESS(25,7)))</f>
        <v>9</v>
      </c>
      <c r="J15" s="102">
        <f ca="1">IF(LEN(INDIRECT(ADDRESS(ROW()-1, COLUMN())))=1,"",INDIRECT(ADDRESS(35,6))-INDIRECT(ADDRESS(35,7)))</f>
        <v>-8</v>
      </c>
      <c r="K15" s="103" t="s">
        <v>4</v>
      </c>
      <c r="L15" s="126"/>
      <c r="M15" s="102">
        <f ca="1">IF(COUNT(F15:K15)=0,"",SUM(F15:K15))</f>
        <v>0</v>
      </c>
      <c r="N15" s="127"/>
    </row>
    <row r="19" spans="2:13" ht="30" customHeight="1" thickBot="1" x14ac:dyDescent="0.3">
      <c r="B19" s="43" t="s">
        <v>5</v>
      </c>
      <c r="C19" s="43"/>
      <c r="D19" s="43"/>
      <c r="E19" s="43"/>
      <c r="F19" s="43"/>
      <c r="G19" s="43"/>
      <c r="H19" s="43"/>
      <c r="I19" s="43"/>
      <c r="J19" s="43"/>
      <c r="K19" s="43"/>
    </row>
    <row r="20" spans="2:13" ht="30" customHeight="1" thickBot="1" x14ac:dyDescent="0.3">
      <c r="B20" s="44">
        <v>1</v>
      </c>
      <c r="C20" s="45" t="str">
        <f ca="1">IF(ISBLANK(INDIRECT(ADDRESS(B20*2+2,3))),"",INDIRECT(ADDRESS(B20*2+2,3)))</f>
        <v>Савченко</v>
      </c>
      <c r="D20" s="45"/>
      <c r="E20" s="46"/>
      <c r="F20" s="47">
        <v>13</v>
      </c>
      <c r="G20" s="48">
        <v>5</v>
      </c>
      <c r="H20" s="49" t="str">
        <f ca="1">IF(ISBLANK(INDIRECT(ADDRESS(K20*2+2,3))),"",INDIRECT(ADDRESS(K20*2+2,3)))</f>
        <v>Тюрина</v>
      </c>
      <c r="I20" s="45"/>
      <c r="J20" s="45"/>
      <c r="K20" s="44">
        <v>6</v>
      </c>
      <c r="L20" s="50" t="s">
        <v>6</v>
      </c>
      <c r="M20" s="51"/>
    </row>
    <row r="21" spans="2:13" ht="30" customHeight="1" thickBot="1" x14ac:dyDescent="0.3">
      <c r="B21" s="44">
        <v>2</v>
      </c>
      <c r="C21" s="45" t="str">
        <f ca="1">IF(ISBLANK(INDIRECT(ADDRESS(B21*2+2,3))),"",INDIRECT(ADDRESS(B21*2+2,3)))</f>
        <v>Кайтукова</v>
      </c>
      <c r="D21" s="45"/>
      <c r="E21" s="46"/>
      <c r="F21" s="47">
        <v>6</v>
      </c>
      <c r="G21" s="48">
        <v>13</v>
      </c>
      <c r="H21" s="49" t="str">
        <f ca="1">IF(ISBLANK(INDIRECT(ADDRESS(K21*2+2,3))),"",INDIRECT(ADDRESS(K21*2+2,3)))</f>
        <v>Трофимова</v>
      </c>
      <c r="I21" s="45"/>
      <c r="J21" s="45"/>
      <c r="K21" s="44">
        <v>5</v>
      </c>
      <c r="L21" s="50" t="s">
        <v>6</v>
      </c>
      <c r="M21" s="51"/>
    </row>
    <row r="22" spans="2:13" ht="30" customHeight="1" thickBot="1" x14ac:dyDescent="0.3">
      <c r="B22" s="44">
        <v>3</v>
      </c>
      <c r="C22" s="45" t="str">
        <f ca="1">IF(ISBLANK(INDIRECT(ADDRESS(B22*2+2,3))),"",INDIRECT(ADDRESS(B22*2+2,3)))</f>
        <v>Павлова</v>
      </c>
      <c r="D22" s="45"/>
      <c r="E22" s="46"/>
      <c r="F22" s="47">
        <v>13</v>
      </c>
      <c r="G22" s="48">
        <v>10</v>
      </c>
      <c r="H22" s="49" t="str">
        <f ca="1">IF(ISBLANK(INDIRECT(ADDRESS(K22*2+2,3))),"",INDIRECT(ADDRESS(K22*2+2,3)))</f>
        <v>Куканова</v>
      </c>
      <c r="I22" s="45"/>
      <c r="J22" s="45"/>
      <c r="K22" s="44">
        <v>4</v>
      </c>
      <c r="L22" s="50" t="s">
        <v>6</v>
      </c>
      <c r="M22" s="51"/>
    </row>
    <row r="23" spans="2:13" ht="30" customHeight="1" x14ac:dyDescent="0.25"/>
    <row r="24" spans="2:13" ht="30" customHeight="1" thickBot="1" x14ac:dyDescent="0.3">
      <c r="B24" s="43" t="s">
        <v>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3" ht="30" customHeight="1" thickBot="1" x14ac:dyDescent="0.3">
      <c r="B25" s="44">
        <v>6</v>
      </c>
      <c r="C25" s="45" t="str">
        <f ca="1">IF(ISBLANK(INDIRECT(ADDRESS(B25*2+2,3))),"",INDIRECT(ADDRESS(B25*2+2,3)))</f>
        <v>Тюрина</v>
      </c>
      <c r="D25" s="45"/>
      <c r="E25" s="46"/>
      <c r="F25" s="47">
        <v>13</v>
      </c>
      <c r="G25" s="48">
        <v>4</v>
      </c>
      <c r="H25" s="49" t="str">
        <f ca="1">IF(ISBLANK(INDIRECT(ADDRESS(K25*2+2,3))),"",INDIRECT(ADDRESS(K25*2+2,3)))</f>
        <v>Куканова</v>
      </c>
      <c r="I25" s="45"/>
      <c r="J25" s="45"/>
      <c r="K25" s="44">
        <v>4</v>
      </c>
      <c r="L25" s="50" t="s">
        <v>6</v>
      </c>
      <c r="M25" s="51"/>
    </row>
    <row r="26" spans="2:13" ht="30" customHeight="1" thickBot="1" x14ac:dyDescent="0.3">
      <c r="B26" s="44">
        <v>5</v>
      </c>
      <c r="C26" s="45" t="str">
        <f ca="1">IF(ISBLANK(INDIRECT(ADDRESS(B26*2+2,3))),"",INDIRECT(ADDRESS(B26*2+2,3)))</f>
        <v>Трофимова</v>
      </c>
      <c r="D26" s="45"/>
      <c r="E26" s="46"/>
      <c r="F26" s="47">
        <v>5</v>
      </c>
      <c r="G26" s="48">
        <v>13</v>
      </c>
      <c r="H26" s="49" t="str">
        <f ca="1">IF(ISBLANK(INDIRECT(ADDRESS(K26*2+2,3))),"",INDIRECT(ADDRESS(K26*2+2,3)))</f>
        <v>Павлова</v>
      </c>
      <c r="I26" s="45"/>
      <c r="J26" s="45"/>
      <c r="K26" s="44">
        <v>3</v>
      </c>
      <c r="L26" s="50" t="s">
        <v>6</v>
      </c>
      <c r="M26" s="51"/>
    </row>
    <row r="27" spans="2:13" ht="30" customHeight="1" thickBot="1" x14ac:dyDescent="0.3">
      <c r="B27" s="44">
        <v>1</v>
      </c>
      <c r="C27" s="45" t="str">
        <f ca="1">IF(ISBLANK(INDIRECT(ADDRESS(B27*2+2,3))),"",INDIRECT(ADDRESS(B27*2+2,3)))</f>
        <v>Савченко</v>
      </c>
      <c r="D27" s="45"/>
      <c r="E27" s="46"/>
      <c r="F27" s="47">
        <v>13</v>
      </c>
      <c r="G27" s="48">
        <v>9</v>
      </c>
      <c r="H27" s="49" t="str">
        <f ca="1">IF(ISBLANK(INDIRECT(ADDRESS(K27*2+2,3))),"",INDIRECT(ADDRESS(K27*2+2,3)))</f>
        <v>Кайтукова</v>
      </c>
      <c r="I27" s="45"/>
      <c r="J27" s="45"/>
      <c r="K27" s="44">
        <v>2</v>
      </c>
      <c r="L27" s="50" t="s">
        <v>6</v>
      </c>
      <c r="M27" s="51"/>
    </row>
    <row r="28" spans="2:13" ht="30" customHeight="1" x14ac:dyDescent="0.25"/>
    <row r="29" spans="2:13" ht="30" customHeight="1" thickBot="1" x14ac:dyDescent="0.3">
      <c r="B29" s="43" t="s">
        <v>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3" ht="30" customHeight="1" thickBot="1" x14ac:dyDescent="0.3">
      <c r="B30" s="44">
        <v>2</v>
      </c>
      <c r="C30" s="45" t="str">
        <f ca="1">IF(ISBLANK(INDIRECT(ADDRESS(B30*2+2,3))),"",INDIRECT(ADDRESS(B30*2+2,3)))</f>
        <v>Кайтукова</v>
      </c>
      <c r="D30" s="45"/>
      <c r="E30" s="46"/>
      <c r="F30" s="47">
        <v>4</v>
      </c>
      <c r="G30" s="48">
        <v>13</v>
      </c>
      <c r="H30" s="49" t="str">
        <f ca="1">IF(ISBLANK(INDIRECT(ADDRESS(K30*2+2,3))),"",INDIRECT(ADDRESS(K30*2+2,3)))</f>
        <v>Тюрина</v>
      </c>
      <c r="I30" s="45"/>
      <c r="J30" s="45"/>
      <c r="K30" s="44">
        <v>6</v>
      </c>
      <c r="L30" s="50" t="s">
        <v>6</v>
      </c>
      <c r="M30" s="51"/>
    </row>
    <row r="31" spans="2:13" ht="30" customHeight="1" thickBot="1" x14ac:dyDescent="0.3">
      <c r="B31" s="44">
        <v>3</v>
      </c>
      <c r="C31" s="45" t="str">
        <f ca="1">IF(ISBLANK(INDIRECT(ADDRESS(B31*2+2,3))),"",INDIRECT(ADDRESS(B31*2+2,3)))</f>
        <v>Павлова</v>
      </c>
      <c r="D31" s="45"/>
      <c r="E31" s="46"/>
      <c r="F31" s="47">
        <v>6</v>
      </c>
      <c r="G31" s="48">
        <v>11</v>
      </c>
      <c r="H31" s="49" t="str">
        <f ca="1">IF(ISBLANK(INDIRECT(ADDRESS(K31*2+2,3))),"",INDIRECT(ADDRESS(K31*2+2,3)))</f>
        <v>Савченко</v>
      </c>
      <c r="I31" s="45"/>
      <c r="J31" s="45"/>
      <c r="K31" s="44">
        <v>1</v>
      </c>
      <c r="L31" s="50" t="s">
        <v>6</v>
      </c>
      <c r="M31" s="51"/>
    </row>
    <row r="32" spans="2:13" ht="30" customHeight="1" thickBot="1" x14ac:dyDescent="0.3">
      <c r="B32" s="44">
        <v>4</v>
      </c>
      <c r="C32" s="45" t="str">
        <f ca="1">IF(ISBLANK(INDIRECT(ADDRESS(B32*2+2,3))),"",INDIRECT(ADDRESS(B32*2+2,3)))</f>
        <v>Куканова</v>
      </c>
      <c r="D32" s="45"/>
      <c r="E32" s="46"/>
      <c r="F32" s="47">
        <v>0</v>
      </c>
      <c r="G32" s="48">
        <v>13</v>
      </c>
      <c r="H32" s="49" t="str">
        <f ca="1">IF(ISBLANK(INDIRECT(ADDRESS(K32*2+2,3))),"",INDIRECT(ADDRESS(K32*2+2,3)))</f>
        <v>Трофимова</v>
      </c>
      <c r="I32" s="45"/>
      <c r="J32" s="45"/>
      <c r="K32" s="44">
        <v>5</v>
      </c>
      <c r="L32" s="50" t="s">
        <v>6</v>
      </c>
      <c r="M32" s="51"/>
    </row>
    <row r="33" spans="2:13" ht="30" customHeight="1" x14ac:dyDescent="0.25"/>
    <row r="34" spans="2:13" ht="30" customHeight="1" thickBot="1" x14ac:dyDescent="0.3">
      <c r="B34" s="43" t="s">
        <v>9</v>
      </c>
      <c r="C34" s="43"/>
      <c r="D34" s="43"/>
      <c r="E34" s="43"/>
      <c r="F34" s="43"/>
      <c r="G34" s="43"/>
      <c r="H34" s="43"/>
      <c r="I34" s="43"/>
      <c r="J34" s="43"/>
      <c r="K34" s="43"/>
    </row>
    <row r="35" spans="2:13" ht="30" customHeight="1" thickBot="1" x14ac:dyDescent="0.3">
      <c r="B35" s="44">
        <v>6</v>
      </c>
      <c r="C35" s="45" t="str">
        <f ca="1">IF(ISBLANK(INDIRECT(ADDRESS(B35*2+2,3))),"",INDIRECT(ADDRESS(B35*2+2,3)))</f>
        <v>Тюрина</v>
      </c>
      <c r="D35" s="45"/>
      <c r="E35" s="46"/>
      <c r="F35" s="47">
        <v>5</v>
      </c>
      <c r="G35" s="48">
        <v>13</v>
      </c>
      <c r="H35" s="49" t="str">
        <f ca="1">IF(ISBLANK(INDIRECT(ADDRESS(K35*2+2,3))),"",INDIRECT(ADDRESS(K35*2+2,3)))</f>
        <v>Трофимова</v>
      </c>
      <c r="I35" s="45"/>
      <c r="J35" s="45"/>
      <c r="K35" s="44">
        <v>5</v>
      </c>
      <c r="L35" s="50" t="s">
        <v>6</v>
      </c>
      <c r="M35" s="51"/>
    </row>
    <row r="36" spans="2:13" ht="30" customHeight="1" thickBot="1" x14ac:dyDescent="0.3">
      <c r="B36" s="44">
        <v>1</v>
      </c>
      <c r="C36" s="45" t="str">
        <f ca="1">IF(ISBLANK(INDIRECT(ADDRESS(B36*2+2,3))),"",INDIRECT(ADDRESS(B36*2+2,3)))</f>
        <v>Савченко</v>
      </c>
      <c r="D36" s="45"/>
      <c r="E36" s="46"/>
      <c r="F36" s="47">
        <v>13</v>
      </c>
      <c r="G36" s="48">
        <v>2</v>
      </c>
      <c r="H36" s="49" t="str">
        <f ca="1">IF(ISBLANK(INDIRECT(ADDRESS(K36*2+2,3))),"",INDIRECT(ADDRESS(K36*2+2,3)))</f>
        <v>Куканова</v>
      </c>
      <c r="I36" s="45"/>
      <c r="J36" s="45"/>
      <c r="K36" s="44">
        <v>4</v>
      </c>
      <c r="L36" s="50" t="s">
        <v>6</v>
      </c>
      <c r="M36" s="51"/>
    </row>
    <row r="37" spans="2:13" ht="30" customHeight="1" thickBot="1" x14ac:dyDescent="0.3">
      <c r="B37" s="44">
        <v>2</v>
      </c>
      <c r="C37" s="45" t="str">
        <f ca="1">IF(ISBLANK(INDIRECT(ADDRESS(B37*2+2,3))),"",INDIRECT(ADDRESS(B37*2+2,3)))</f>
        <v>Кайтукова</v>
      </c>
      <c r="D37" s="45"/>
      <c r="E37" s="46"/>
      <c r="F37" s="47">
        <v>8</v>
      </c>
      <c r="G37" s="48">
        <v>13</v>
      </c>
      <c r="H37" s="49" t="str">
        <f ca="1">IF(ISBLANK(INDIRECT(ADDRESS(K37*2+2,3))),"",INDIRECT(ADDRESS(K37*2+2,3)))</f>
        <v>Павлова</v>
      </c>
      <c r="I37" s="45"/>
      <c r="J37" s="45"/>
      <c r="K37" s="44">
        <v>3</v>
      </c>
      <c r="L37" s="50" t="s">
        <v>6</v>
      </c>
      <c r="M37" s="51"/>
    </row>
    <row r="38" spans="2:13" ht="30" customHeight="1" x14ac:dyDescent="0.25"/>
    <row r="39" spans="2:13" ht="30" customHeight="1" thickBot="1" x14ac:dyDescent="0.3">
      <c r="B39" s="43" t="s">
        <v>10</v>
      </c>
      <c r="C39" s="43"/>
      <c r="D39" s="43"/>
      <c r="E39" s="43"/>
      <c r="F39" s="43"/>
      <c r="G39" s="43"/>
      <c r="H39" s="43"/>
      <c r="I39" s="43"/>
      <c r="J39" s="43"/>
      <c r="K39" s="43"/>
    </row>
    <row r="40" spans="2:13" ht="30" customHeight="1" thickBot="1" x14ac:dyDescent="0.3">
      <c r="B40" s="44">
        <v>3</v>
      </c>
      <c r="C40" s="45" t="str">
        <f ca="1">IF(ISBLANK(INDIRECT(ADDRESS(B40*2+2,3))),"",INDIRECT(ADDRESS(B40*2+2,3)))</f>
        <v>Павлова</v>
      </c>
      <c r="D40" s="45"/>
      <c r="E40" s="46"/>
      <c r="F40" s="47">
        <v>13</v>
      </c>
      <c r="G40" s="48">
        <v>11</v>
      </c>
      <c r="H40" s="49" t="str">
        <f ca="1">IF(ISBLANK(INDIRECT(ADDRESS(K40*2+2,3))),"",INDIRECT(ADDRESS(K40*2+2,3)))</f>
        <v>Тюрина</v>
      </c>
      <c r="I40" s="45"/>
      <c r="J40" s="45"/>
      <c r="K40" s="44">
        <v>6</v>
      </c>
      <c r="L40" s="50" t="s">
        <v>6</v>
      </c>
      <c r="M40" s="51"/>
    </row>
    <row r="41" spans="2:13" ht="30" customHeight="1" thickBot="1" x14ac:dyDescent="0.3">
      <c r="B41" s="44">
        <v>4</v>
      </c>
      <c r="C41" s="45" t="str">
        <f ca="1">IF(ISBLANK(INDIRECT(ADDRESS(B41*2+2,3))),"",INDIRECT(ADDRESS(B41*2+2,3)))</f>
        <v>Куканова</v>
      </c>
      <c r="D41" s="45"/>
      <c r="E41" s="46"/>
      <c r="F41" s="47">
        <v>10</v>
      </c>
      <c r="G41" s="48">
        <v>13</v>
      </c>
      <c r="H41" s="49" t="str">
        <f ca="1">IF(ISBLANK(INDIRECT(ADDRESS(K41*2+2,3))),"",INDIRECT(ADDRESS(K41*2+2,3)))</f>
        <v>Кайтукова</v>
      </c>
      <c r="I41" s="45"/>
      <c r="J41" s="45"/>
      <c r="K41" s="44">
        <v>2</v>
      </c>
      <c r="L41" s="50" t="s">
        <v>6</v>
      </c>
      <c r="M41" s="51"/>
    </row>
    <row r="42" spans="2:13" ht="30" customHeight="1" thickBot="1" x14ac:dyDescent="0.3">
      <c r="B42" s="44">
        <v>5</v>
      </c>
      <c r="C42" s="45" t="str">
        <f ca="1">IF(ISBLANK(INDIRECT(ADDRESS(B42*2+2,3))),"",INDIRECT(ADDRESS(B42*2+2,3)))</f>
        <v>Трофимова</v>
      </c>
      <c r="D42" s="45"/>
      <c r="E42" s="46"/>
      <c r="F42" s="47">
        <v>13</v>
      </c>
      <c r="G42" s="48">
        <v>3</v>
      </c>
      <c r="H42" s="49" t="str">
        <f ca="1">IF(ISBLANK(INDIRECT(ADDRESS(K42*2+2,3))),"",INDIRECT(ADDRESS(K42*2+2,3)))</f>
        <v>Савченко</v>
      </c>
      <c r="I42" s="45"/>
      <c r="J42" s="45"/>
      <c r="K42" s="44">
        <v>1</v>
      </c>
      <c r="L42" s="50" t="s">
        <v>6</v>
      </c>
      <c r="M42" s="51"/>
    </row>
  </sheetData>
  <mergeCells count="61"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  <mergeCell ref="C31:E31"/>
    <mergeCell ref="H31:J31"/>
    <mergeCell ref="C32:E32"/>
    <mergeCell ref="H32:J32"/>
    <mergeCell ref="B34:K3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21:E21"/>
    <mergeCell ref="H21:J21"/>
    <mergeCell ref="C22:E22"/>
    <mergeCell ref="H22:J22"/>
    <mergeCell ref="B24:K24"/>
    <mergeCell ref="C25:E25"/>
    <mergeCell ref="H25:J25"/>
    <mergeCell ref="B14:B15"/>
    <mergeCell ref="C14:E15"/>
    <mergeCell ref="L14:L15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B6:B7"/>
    <mergeCell ref="C6:E7"/>
    <mergeCell ref="L6:L7"/>
    <mergeCell ref="N6:N7"/>
    <mergeCell ref="B8:B9"/>
    <mergeCell ref="C8:E9"/>
    <mergeCell ref="L8:L9"/>
    <mergeCell ref="N8:N9"/>
    <mergeCell ref="B1:K1"/>
    <mergeCell ref="C3:E3"/>
    <mergeCell ref="B4:B5"/>
    <mergeCell ref="C4:E5"/>
    <mergeCell ref="L4:L5"/>
    <mergeCell ref="N4:N5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69" orientation="portrait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BCFB3-73DB-4046-8E77-E880B76F44B0}">
  <sheetPr>
    <pageSetUpPr fitToPage="1"/>
  </sheetPr>
  <dimension ref="A1:L24"/>
  <sheetViews>
    <sheetView workbookViewId="0">
      <selection activeCell="E27" sqref="E27"/>
    </sheetView>
  </sheetViews>
  <sheetFormatPr defaultRowHeight="15" customHeight="1" x14ac:dyDescent="0.25"/>
  <cols>
    <col min="1" max="1" width="9.140625" style="52"/>
    <col min="2" max="15" width="9.140625" style="51" customWidth="1"/>
    <col min="16" max="16384" width="9.140625" style="51"/>
  </cols>
  <sheetData>
    <row r="1" spans="2:12" ht="59.2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2" ht="15" customHeight="1" x14ac:dyDescent="0.25">
      <c r="C2" s="62"/>
    </row>
    <row r="3" spans="2:12" ht="15" customHeight="1" x14ac:dyDescent="0.25">
      <c r="C3" s="62"/>
    </row>
    <row r="4" spans="2:12" ht="15" customHeight="1" x14ac:dyDescent="0.25">
      <c r="B4" s="56" t="s">
        <v>25</v>
      </c>
      <c r="C4" s="55"/>
      <c r="D4" s="54">
        <v>13</v>
      </c>
      <c r="E4" s="61"/>
    </row>
    <row r="5" spans="2:12" ht="15" customHeight="1" x14ac:dyDescent="0.25">
      <c r="C5" s="62"/>
      <c r="E5" s="59"/>
    </row>
    <row r="6" spans="2:12" ht="15" customHeight="1" x14ac:dyDescent="0.25">
      <c r="B6" s="50" t="s">
        <v>6</v>
      </c>
      <c r="C6" s="62"/>
      <c r="E6" s="57"/>
      <c r="F6" s="58" t="str">
        <f>IF(ISBLANK(D4),"",IF(D4&gt;D8,B4,B8))</f>
        <v>Павлова</v>
      </c>
      <c r="G6" s="55"/>
      <c r="H6" s="54">
        <v>13</v>
      </c>
      <c r="I6" s="61"/>
    </row>
    <row r="7" spans="2:12" ht="15" customHeight="1" x14ac:dyDescent="0.25">
      <c r="C7" s="62"/>
      <c r="E7" s="57"/>
      <c r="I7" s="59"/>
    </row>
    <row r="8" spans="2:12" ht="15" customHeight="1" x14ac:dyDescent="0.25">
      <c r="B8" s="56" t="s">
        <v>34</v>
      </c>
      <c r="C8" s="55"/>
      <c r="D8" s="54">
        <v>9</v>
      </c>
      <c r="E8" s="53"/>
      <c r="I8" s="57"/>
    </row>
    <row r="9" spans="2:12" ht="15" customHeight="1" x14ac:dyDescent="0.25">
      <c r="C9" s="62"/>
      <c r="I9" s="57"/>
    </row>
    <row r="10" spans="2:12" ht="15" customHeight="1" x14ac:dyDescent="0.25">
      <c r="C10" s="62"/>
      <c r="F10" s="50" t="s">
        <v>6</v>
      </c>
      <c r="H10" s="62"/>
      <c r="I10" s="57"/>
      <c r="J10" s="58" t="str">
        <f>IF(ISBLANK(H6),"",IF(H6&gt;H14,F6,F14))</f>
        <v>Павлова</v>
      </c>
      <c r="K10" s="56"/>
      <c r="L10" s="63"/>
    </row>
    <row r="11" spans="2:12" ht="15" customHeight="1" x14ac:dyDescent="0.25">
      <c r="C11" s="62"/>
      <c r="I11" s="57"/>
    </row>
    <row r="12" spans="2:12" ht="15" customHeight="1" x14ac:dyDescent="0.25">
      <c r="B12" s="56" t="s">
        <v>33</v>
      </c>
      <c r="C12" s="55"/>
      <c r="D12" s="54">
        <v>3</v>
      </c>
      <c r="E12" s="61"/>
      <c r="I12" s="57"/>
    </row>
    <row r="13" spans="2:12" ht="15" customHeight="1" x14ac:dyDescent="0.25">
      <c r="C13" s="62"/>
      <c r="E13" s="59"/>
      <c r="I13" s="57"/>
    </row>
    <row r="14" spans="2:12" ht="15" customHeight="1" x14ac:dyDescent="0.25">
      <c r="B14" s="50" t="s">
        <v>6</v>
      </c>
      <c r="C14" s="62"/>
      <c r="E14" s="57"/>
      <c r="F14" s="58" t="str">
        <f>IF(ISBLANK(D12),"",IF(D12&gt;D16,B12,B16))</f>
        <v>Савченко</v>
      </c>
      <c r="G14" s="55"/>
      <c r="H14" s="54">
        <v>9</v>
      </c>
      <c r="I14" s="53"/>
    </row>
    <row r="15" spans="2:12" ht="15" customHeight="1" x14ac:dyDescent="0.25">
      <c r="E15" s="57"/>
    </row>
    <row r="16" spans="2:12" ht="15" customHeight="1" x14ac:dyDescent="0.25">
      <c r="B16" s="56" t="s">
        <v>30</v>
      </c>
      <c r="C16" s="55"/>
      <c r="D16" s="54">
        <v>13</v>
      </c>
      <c r="E16" s="53"/>
    </row>
    <row r="20" spans="2:7" ht="15" customHeight="1" x14ac:dyDescent="0.25">
      <c r="B20" s="56" t="str">
        <f>IF(ISBLANK(D4),"",IF(D4&gt;D8,B8,B4))</f>
        <v>Тюрина</v>
      </c>
      <c r="C20" s="55"/>
      <c r="D20" s="54">
        <v>13</v>
      </c>
      <c r="E20" s="61"/>
      <c r="F20" s="60"/>
      <c r="G20" s="60"/>
    </row>
    <row r="21" spans="2:7" ht="15" customHeight="1" x14ac:dyDescent="0.25">
      <c r="E21" s="59"/>
    </row>
    <row r="22" spans="2:7" ht="15" customHeight="1" x14ac:dyDescent="0.25">
      <c r="C22" s="50" t="s">
        <v>6</v>
      </c>
      <c r="E22" s="57"/>
      <c r="F22" s="58" t="str">
        <f>IF(ISBLANK(D20),"",IF(D20&gt;D24,B20,B24))</f>
        <v>Тюрина</v>
      </c>
      <c r="G22" s="56"/>
    </row>
    <row r="23" spans="2:7" ht="15" customHeight="1" x14ac:dyDescent="0.25">
      <c r="E23" s="57"/>
    </row>
    <row r="24" spans="2:7" ht="15" customHeight="1" x14ac:dyDescent="0.25">
      <c r="B24" s="56" t="str">
        <f>IF(ISBLANK(D12),"",IF(D12&gt;D16,B16,B12))</f>
        <v>Трофимова</v>
      </c>
      <c r="C24" s="55"/>
      <c r="D24" s="54">
        <v>11</v>
      </c>
      <c r="E24" s="53"/>
    </row>
  </sheetData>
  <mergeCells count="12">
    <mergeCell ref="B1:K1"/>
    <mergeCell ref="B4:C4"/>
    <mergeCell ref="F6:G6"/>
    <mergeCell ref="B8:C8"/>
    <mergeCell ref="J10:K10"/>
    <mergeCell ref="F22:G22"/>
    <mergeCell ref="B24:C24"/>
    <mergeCell ref="B20:C20"/>
    <mergeCell ref="F20:G20"/>
    <mergeCell ref="B12:C12"/>
    <mergeCell ref="F14:G14"/>
    <mergeCell ref="B16:C16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EBC06-99F9-4F59-8FE3-C6C80B078BD6}">
  <sheetPr>
    <pageSetUpPr fitToPage="1"/>
  </sheetPr>
  <dimension ref="A1:M25"/>
  <sheetViews>
    <sheetView workbookViewId="0">
      <selection activeCell="M14" sqref="M14"/>
    </sheetView>
  </sheetViews>
  <sheetFormatPr defaultRowHeight="15" x14ac:dyDescent="0.25"/>
  <cols>
    <col min="1" max="1" width="4" style="52" customWidth="1"/>
    <col min="2" max="15" width="10.28515625" customWidth="1"/>
  </cols>
  <sheetData>
    <row r="1" spans="2:13" ht="59.25" customHeight="1" x14ac:dyDescent="0.25">
      <c r="B1" s="1" t="s">
        <v>35</v>
      </c>
      <c r="C1" s="1"/>
      <c r="D1" s="1"/>
      <c r="E1" s="1"/>
      <c r="F1" s="1"/>
      <c r="G1" s="1"/>
      <c r="H1" s="1"/>
      <c r="I1" s="1"/>
      <c r="J1" s="1"/>
      <c r="K1" s="1"/>
    </row>
    <row r="2" spans="2:13" ht="15.75" thickBot="1" x14ac:dyDescent="0.3"/>
    <row r="3" spans="2:13" ht="30" customHeight="1" thickBot="1" x14ac:dyDescent="0.3">
      <c r="B3" s="2"/>
      <c r="C3" s="3" t="s">
        <v>0</v>
      </c>
      <c r="D3" s="4"/>
      <c r="E3" s="5"/>
      <c r="F3" s="6">
        <v>1</v>
      </c>
      <c r="G3" s="6">
        <v>2</v>
      </c>
      <c r="H3" s="7">
        <v>3</v>
      </c>
      <c r="I3" s="7">
        <v>4</v>
      </c>
      <c r="J3" s="2" t="s">
        <v>1</v>
      </c>
      <c r="K3" s="6" t="s">
        <v>2</v>
      </c>
      <c r="L3" s="71" t="s">
        <v>3</v>
      </c>
    </row>
    <row r="4" spans="2:13" ht="24" customHeight="1" x14ac:dyDescent="0.25">
      <c r="B4" s="10">
        <v>1</v>
      </c>
      <c r="C4" s="11" t="s">
        <v>19</v>
      </c>
      <c r="D4" s="12"/>
      <c r="E4" s="13"/>
      <c r="F4" s="14" t="s">
        <v>4</v>
      </c>
      <c r="G4" s="15" t="str">
        <f ca="1">INDIRECT(ADDRESS(21,6))&amp;":"&amp;INDIRECT(ADDRESS(21,7))</f>
        <v>11:13</v>
      </c>
      <c r="H4" s="15" t="str">
        <f ca="1">INDIRECT(ADDRESS(25,7))&amp;":"&amp;INDIRECT(ADDRESS(25,6))</f>
        <v>10:7</v>
      </c>
      <c r="I4" s="16" t="str">
        <f ca="1">INDIRECT(ADDRESS(16,6))&amp;":"&amp;INDIRECT(ADDRESS(16,7))</f>
        <v>3:13</v>
      </c>
      <c r="J4" s="70">
        <f ca="1">IF(COUNT(F5:I5)=0,"",COUNTIF(F5:I5,"&gt;0")+0.5*COUNTIF(F5:I5,0))</f>
        <v>1</v>
      </c>
      <c r="K4" s="17"/>
      <c r="L4" s="69">
        <v>4</v>
      </c>
    </row>
    <row r="5" spans="2:13" ht="24" customHeight="1" x14ac:dyDescent="0.25">
      <c r="B5" s="18"/>
      <c r="C5" s="19"/>
      <c r="D5" s="20"/>
      <c r="E5" s="21"/>
      <c r="F5" s="22" t="s">
        <v>4</v>
      </c>
      <c r="G5" s="23">
        <f ca="1">IF(LEN(INDIRECT(ADDRESS(ROW()-1, COLUMN())))=1,"",INDIRECT(ADDRESS(21,6))-INDIRECT(ADDRESS(21,7)))</f>
        <v>-2</v>
      </c>
      <c r="H5" s="23">
        <f ca="1">IF(LEN(INDIRECT(ADDRESS(ROW()-1, COLUMN())))=1,"",INDIRECT(ADDRESS(25,7))-INDIRECT(ADDRESS(25,6)))</f>
        <v>3</v>
      </c>
      <c r="I5" s="24">
        <f ca="1">IF(LEN(INDIRECT(ADDRESS(ROW()-1, COLUMN())))=1,"",INDIRECT(ADDRESS(16,6))-INDIRECT(ADDRESS(16,7)))</f>
        <v>-10</v>
      </c>
      <c r="J5" s="68"/>
      <c r="K5" s="23">
        <f ca="1">IF(COUNT(F5:I5)=0,"",SUM(F5:I5))</f>
        <v>-9</v>
      </c>
      <c r="L5" s="67"/>
    </row>
    <row r="6" spans="2:13" ht="24" customHeight="1" x14ac:dyDescent="0.25">
      <c r="B6" s="27">
        <v>2</v>
      </c>
      <c r="C6" s="19" t="s">
        <v>36</v>
      </c>
      <c r="D6" s="20"/>
      <c r="E6" s="21"/>
      <c r="F6" s="28" t="str">
        <f ca="1">INDIRECT(ADDRESS(21,7))&amp;":"&amp;INDIRECT(ADDRESS(21,6))</f>
        <v>13:11</v>
      </c>
      <c r="G6" s="29" t="s">
        <v>4</v>
      </c>
      <c r="H6" s="30" t="str">
        <f ca="1">INDIRECT(ADDRESS(17,6))&amp;":"&amp;INDIRECT(ADDRESS(17,7))</f>
        <v>4:9</v>
      </c>
      <c r="I6" s="31" t="str">
        <f ca="1">INDIRECT(ADDRESS(24,6))&amp;":"&amp;INDIRECT(ADDRESS(24,7))</f>
        <v>13:5</v>
      </c>
      <c r="J6" s="68">
        <f ca="1">IF(COUNT(F7:I7)=0,"",COUNTIF(F7:I7,"&gt;0")+0.5*COUNTIF(F7:I7,0))</f>
        <v>2</v>
      </c>
      <c r="K6" s="23"/>
      <c r="L6" s="67">
        <v>2</v>
      </c>
    </row>
    <row r="7" spans="2:13" ht="24" customHeight="1" x14ac:dyDescent="0.25">
      <c r="B7" s="18"/>
      <c r="C7" s="19"/>
      <c r="D7" s="20"/>
      <c r="E7" s="21"/>
      <c r="F7" s="33">
        <f ca="1">IF(LEN(INDIRECT(ADDRESS(ROW()-1, COLUMN())))=1,"",INDIRECT(ADDRESS(21,7))-INDIRECT(ADDRESS(21,6)))</f>
        <v>2</v>
      </c>
      <c r="G7" s="34" t="s">
        <v>4</v>
      </c>
      <c r="H7" s="23">
        <f ca="1">IF(LEN(INDIRECT(ADDRESS(ROW()-1, COLUMN())))=1,"",INDIRECT(ADDRESS(17,6))-INDIRECT(ADDRESS(17,7)))</f>
        <v>-5</v>
      </c>
      <c r="I7" s="24">
        <f ca="1">IF(LEN(INDIRECT(ADDRESS(ROW()-1, COLUMN())))=1,"",INDIRECT(ADDRESS(24,6))-INDIRECT(ADDRESS(24,7)))</f>
        <v>8</v>
      </c>
      <c r="J7" s="68"/>
      <c r="K7" s="23">
        <f ca="1">IF(COUNT(F7:I7)=0,"",SUM(F7:I7))</f>
        <v>5</v>
      </c>
      <c r="L7" s="67"/>
    </row>
    <row r="8" spans="2:13" ht="24" customHeight="1" x14ac:dyDescent="0.25">
      <c r="B8" s="27">
        <v>3</v>
      </c>
      <c r="C8" s="19" t="s">
        <v>37</v>
      </c>
      <c r="D8" s="20"/>
      <c r="E8" s="21"/>
      <c r="F8" s="28" t="str">
        <f ca="1">INDIRECT(ADDRESS(25,6))&amp;":"&amp;INDIRECT(ADDRESS(25,7))</f>
        <v>7:10</v>
      </c>
      <c r="G8" s="30" t="str">
        <f ca="1">INDIRECT(ADDRESS(17,7))&amp;":"&amp;INDIRECT(ADDRESS(17,6))</f>
        <v>9:4</v>
      </c>
      <c r="H8" s="29" t="s">
        <v>4</v>
      </c>
      <c r="I8" s="31" t="str">
        <f ca="1">INDIRECT(ADDRESS(20,7))&amp;":"&amp;INDIRECT(ADDRESS(20,6))</f>
        <v>11:8</v>
      </c>
      <c r="J8" s="68">
        <f ca="1">IF(COUNT(F9:I9)=0,"",COUNTIF(F9:I9,"&gt;0")+0.5*COUNTIF(F9:I9,0))</f>
        <v>2</v>
      </c>
      <c r="K8" s="23"/>
      <c r="L8" s="67">
        <v>1</v>
      </c>
    </row>
    <row r="9" spans="2:13" ht="24" customHeight="1" x14ac:dyDescent="0.25">
      <c r="B9" s="18"/>
      <c r="C9" s="19"/>
      <c r="D9" s="20"/>
      <c r="E9" s="21"/>
      <c r="F9" s="33">
        <f ca="1">IF(LEN(INDIRECT(ADDRESS(ROW()-1, COLUMN())))=1,"",INDIRECT(ADDRESS(25,6))-INDIRECT(ADDRESS(25,7)))</f>
        <v>-3</v>
      </c>
      <c r="G9" s="23">
        <f ca="1">IF(LEN(INDIRECT(ADDRESS(ROW()-1, COLUMN())))=1,"",INDIRECT(ADDRESS(17,7))-INDIRECT(ADDRESS(17,6)))</f>
        <v>5</v>
      </c>
      <c r="H9" s="34" t="s">
        <v>4</v>
      </c>
      <c r="I9" s="24">
        <f ca="1">IF(LEN(INDIRECT(ADDRESS(ROW()-1, COLUMN())))=1,"",INDIRECT(ADDRESS(20,7))-INDIRECT(ADDRESS(20,6)))</f>
        <v>3</v>
      </c>
      <c r="J9" s="68"/>
      <c r="K9" s="23">
        <f ca="1">IF(COUNT(F9:I9)=0,"",SUM(F9:I9))</f>
        <v>5</v>
      </c>
      <c r="L9" s="67"/>
    </row>
    <row r="10" spans="2:13" ht="24" customHeight="1" x14ac:dyDescent="0.25">
      <c r="B10" s="27">
        <v>4</v>
      </c>
      <c r="C10" s="19" t="s">
        <v>20</v>
      </c>
      <c r="D10" s="20"/>
      <c r="E10" s="21"/>
      <c r="F10" s="28" t="str">
        <f ca="1">INDIRECT(ADDRESS(16,7))&amp;":"&amp;INDIRECT(ADDRESS(16,6))</f>
        <v>13:3</v>
      </c>
      <c r="G10" s="30" t="str">
        <f ca="1">INDIRECT(ADDRESS(24,7))&amp;":"&amp;INDIRECT(ADDRESS(24,6))</f>
        <v>5:13</v>
      </c>
      <c r="H10" s="30" t="str">
        <f ca="1">INDIRECT(ADDRESS(20,6))&amp;":"&amp;INDIRECT(ADDRESS(20,7))</f>
        <v>8:11</v>
      </c>
      <c r="I10" s="35" t="s">
        <v>4</v>
      </c>
      <c r="J10" s="68">
        <f ca="1">IF(COUNT(F11:I11)=0,"",COUNTIF(F11:I11,"&gt;0")+0.5*COUNTIF(F11:I11,0))</f>
        <v>1</v>
      </c>
      <c r="K10" s="23"/>
      <c r="L10" s="67">
        <v>3</v>
      </c>
    </row>
    <row r="11" spans="2:13" ht="24" customHeight="1" thickBot="1" x14ac:dyDescent="0.3">
      <c r="B11" s="36"/>
      <c r="C11" s="37"/>
      <c r="D11" s="38"/>
      <c r="E11" s="39"/>
      <c r="F11" s="40">
        <f ca="1">IF(LEN(INDIRECT(ADDRESS(ROW()-1, COLUMN())))=1,"",INDIRECT(ADDRESS(16,7))-INDIRECT(ADDRESS(16,6)))</f>
        <v>10</v>
      </c>
      <c r="G11" s="41">
        <f ca="1">IF(LEN(INDIRECT(ADDRESS(ROW()-1, COLUMN())))=1,"",INDIRECT(ADDRESS(24,7))-INDIRECT(ADDRESS(24,6)))</f>
        <v>-8</v>
      </c>
      <c r="H11" s="41">
        <f ca="1">IF(LEN(INDIRECT(ADDRESS(ROW()-1, COLUMN())))=1,"",INDIRECT(ADDRESS(20,6))-INDIRECT(ADDRESS(20,7)))</f>
        <v>-3</v>
      </c>
      <c r="I11" s="42" t="s">
        <v>4</v>
      </c>
      <c r="J11" s="66"/>
      <c r="K11" s="41">
        <f ca="1">IF(COUNT(F11:I11)=0,"",SUM(F11:I11))</f>
        <v>-1</v>
      </c>
      <c r="L11" s="65"/>
    </row>
    <row r="15" spans="2:13" ht="30" customHeight="1" thickBot="1" x14ac:dyDescent="0.3">
      <c r="B15" s="43" t="s">
        <v>5</v>
      </c>
      <c r="C15" s="43"/>
      <c r="D15" s="43"/>
      <c r="E15" s="43"/>
      <c r="F15" s="43"/>
      <c r="G15" s="43"/>
      <c r="H15" s="43"/>
      <c r="I15" s="43"/>
      <c r="J15" s="43"/>
      <c r="K15" s="43"/>
    </row>
    <row r="16" spans="2:13" ht="30" customHeight="1" thickBot="1" x14ac:dyDescent="0.3">
      <c r="B16" s="44">
        <v>1</v>
      </c>
      <c r="C16" s="45" t="str">
        <f ca="1">IF(ISBLANK(INDIRECT(ADDRESS(B16*2+2,3))),"",INDIRECT(ADDRESS(B16*2+2,3)))</f>
        <v>Воронов</v>
      </c>
      <c r="D16" s="45"/>
      <c r="E16" s="46"/>
      <c r="F16" s="47">
        <v>3</v>
      </c>
      <c r="G16" s="48">
        <v>13</v>
      </c>
      <c r="H16" s="49" t="str">
        <f ca="1">IF(ISBLANK(INDIRECT(ADDRESS(K16*2+2,3))),"",INDIRECT(ADDRESS(K16*2+2,3)))</f>
        <v>Новиков</v>
      </c>
      <c r="I16" s="45"/>
      <c r="J16" s="45"/>
      <c r="K16" s="44">
        <v>4</v>
      </c>
      <c r="L16" s="50" t="s">
        <v>6</v>
      </c>
      <c r="M16" s="64"/>
    </row>
    <row r="17" spans="2:13" ht="30" customHeight="1" thickBot="1" x14ac:dyDescent="0.3">
      <c r="B17" s="44">
        <v>2</v>
      </c>
      <c r="C17" s="45" t="str">
        <f ca="1">IF(ISBLANK(INDIRECT(ADDRESS(B17*2+2,3))),"",INDIRECT(ADDRESS(B17*2+2,3)))</f>
        <v>Франк</v>
      </c>
      <c r="D17" s="45"/>
      <c r="E17" s="46"/>
      <c r="F17" s="47">
        <v>4</v>
      </c>
      <c r="G17" s="48">
        <v>9</v>
      </c>
      <c r="H17" s="49" t="str">
        <f ca="1">IF(ISBLANK(INDIRECT(ADDRESS(K17*2+2,3))),"",INDIRECT(ADDRESS(K17*2+2,3)))</f>
        <v>Петраков</v>
      </c>
      <c r="I17" s="45"/>
      <c r="J17" s="45"/>
      <c r="K17" s="44">
        <v>3</v>
      </c>
      <c r="L17" s="50" t="s">
        <v>6</v>
      </c>
      <c r="M17" s="64"/>
    </row>
    <row r="18" spans="2:13" ht="30" customHeight="1" x14ac:dyDescent="0.25"/>
    <row r="19" spans="2:13" ht="30" customHeight="1" thickBot="1" x14ac:dyDescent="0.3">
      <c r="B19" s="43" t="s">
        <v>7</v>
      </c>
      <c r="C19" s="43"/>
      <c r="D19" s="43"/>
      <c r="E19" s="43"/>
      <c r="F19" s="43"/>
      <c r="G19" s="43"/>
      <c r="H19" s="43"/>
      <c r="I19" s="43"/>
      <c r="J19" s="43"/>
      <c r="K19" s="43"/>
    </row>
    <row r="20" spans="2:13" ht="30" customHeight="1" thickBot="1" x14ac:dyDescent="0.3">
      <c r="B20" s="44">
        <v>4</v>
      </c>
      <c r="C20" s="45" t="str">
        <f ca="1">IF(ISBLANK(INDIRECT(ADDRESS(B20*2+2,3))),"",INDIRECT(ADDRESS(B20*2+2,3)))</f>
        <v>Новиков</v>
      </c>
      <c r="D20" s="45"/>
      <c r="E20" s="46"/>
      <c r="F20" s="47">
        <v>8</v>
      </c>
      <c r="G20" s="48">
        <v>11</v>
      </c>
      <c r="H20" s="49" t="str">
        <f ca="1">IF(ISBLANK(INDIRECT(ADDRESS(K20*2+2,3))),"",INDIRECT(ADDRESS(K20*2+2,3)))</f>
        <v>Петраков</v>
      </c>
      <c r="I20" s="45"/>
      <c r="J20" s="45"/>
      <c r="K20" s="44">
        <v>3</v>
      </c>
      <c r="L20" s="50" t="s">
        <v>6</v>
      </c>
      <c r="M20" s="64"/>
    </row>
    <row r="21" spans="2:13" ht="30" customHeight="1" thickBot="1" x14ac:dyDescent="0.3">
      <c r="B21" s="44">
        <v>1</v>
      </c>
      <c r="C21" s="45" t="str">
        <f ca="1">IF(ISBLANK(INDIRECT(ADDRESS(B21*2+2,3))),"",INDIRECT(ADDRESS(B21*2+2,3)))</f>
        <v>Воронов</v>
      </c>
      <c r="D21" s="45"/>
      <c r="E21" s="46"/>
      <c r="F21" s="47">
        <v>11</v>
      </c>
      <c r="G21" s="48">
        <v>13</v>
      </c>
      <c r="H21" s="49" t="str">
        <f ca="1">IF(ISBLANK(INDIRECT(ADDRESS(K21*2+2,3))),"",INDIRECT(ADDRESS(K21*2+2,3)))</f>
        <v>Франк</v>
      </c>
      <c r="I21" s="45"/>
      <c r="J21" s="45"/>
      <c r="K21" s="44">
        <v>2</v>
      </c>
      <c r="L21" s="50" t="s">
        <v>6</v>
      </c>
      <c r="M21" s="64"/>
    </row>
    <row r="22" spans="2:13" ht="30" customHeight="1" x14ac:dyDescent="0.25"/>
    <row r="23" spans="2:13" ht="30" customHeight="1" thickBot="1" x14ac:dyDescent="0.3">
      <c r="B23" s="43" t="s">
        <v>8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3" ht="30" customHeight="1" thickBot="1" x14ac:dyDescent="0.3">
      <c r="B24" s="44">
        <v>2</v>
      </c>
      <c r="C24" s="45" t="str">
        <f ca="1">IF(ISBLANK(INDIRECT(ADDRESS(B24*2+2,3))),"",INDIRECT(ADDRESS(B24*2+2,3)))</f>
        <v>Франк</v>
      </c>
      <c r="D24" s="45"/>
      <c r="E24" s="46"/>
      <c r="F24" s="47">
        <v>13</v>
      </c>
      <c r="G24" s="48">
        <v>5</v>
      </c>
      <c r="H24" s="49" t="str">
        <f ca="1">IF(ISBLANK(INDIRECT(ADDRESS(K24*2+2,3))),"",INDIRECT(ADDRESS(K24*2+2,3)))</f>
        <v>Новиков</v>
      </c>
      <c r="I24" s="45"/>
      <c r="J24" s="45"/>
      <c r="K24" s="44">
        <v>4</v>
      </c>
      <c r="L24" s="50" t="s">
        <v>6</v>
      </c>
      <c r="M24" s="64"/>
    </row>
    <row r="25" spans="2:13" ht="30" customHeight="1" thickBot="1" x14ac:dyDescent="0.3">
      <c r="B25" s="44">
        <v>3</v>
      </c>
      <c r="C25" s="45" t="str">
        <f ca="1">IF(ISBLANK(INDIRECT(ADDRESS(B25*2+2,3))),"",INDIRECT(ADDRESS(B25*2+2,3)))</f>
        <v>Петраков</v>
      </c>
      <c r="D25" s="45"/>
      <c r="E25" s="46"/>
      <c r="F25" s="47">
        <v>7</v>
      </c>
      <c r="G25" s="48">
        <v>10</v>
      </c>
      <c r="H25" s="49" t="str">
        <f ca="1">IF(ISBLANK(INDIRECT(ADDRESS(K25*2+2,3))),"",INDIRECT(ADDRESS(K25*2+2,3)))</f>
        <v>Воронов</v>
      </c>
      <c r="I25" s="45"/>
      <c r="J25" s="45"/>
      <c r="K25" s="44">
        <v>1</v>
      </c>
      <c r="L25" s="50" t="s">
        <v>6</v>
      </c>
      <c r="M25" s="64"/>
    </row>
  </sheetData>
  <mergeCells count="33">
    <mergeCell ref="L6:L7"/>
    <mergeCell ref="C3:E3"/>
    <mergeCell ref="B4:B5"/>
    <mergeCell ref="C4:E5"/>
    <mergeCell ref="J4:J5"/>
    <mergeCell ref="L4:L5"/>
    <mergeCell ref="C16:E16"/>
    <mergeCell ref="H16:J16"/>
    <mergeCell ref="C17:E17"/>
    <mergeCell ref="H17:J17"/>
    <mergeCell ref="B1:K1"/>
    <mergeCell ref="B6:B7"/>
    <mergeCell ref="C6:E7"/>
    <mergeCell ref="J6:J7"/>
    <mergeCell ref="B19:K19"/>
    <mergeCell ref="B8:B9"/>
    <mergeCell ref="C8:E9"/>
    <mergeCell ref="J8:J9"/>
    <mergeCell ref="L8:L9"/>
    <mergeCell ref="B10:B11"/>
    <mergeCell ref="C10:E11"/>
    <mergeCell ref="J10:J11"/>
    <mergeCell ref="L10:L11"/>
    <mergeCell ref="B15:K15"/>
    <mergeCell ref="C25:E25"/>
    <mergeCell ref="H25:J25"/>
    <mergeCell ref="C20:E20"/>
    <mergeCell ref="H20:J20"/>
    <mergeCell ref="C21:E21"/>
    <mergeCell ref="H21:J21"/>
    <mergeCell ref="B23:K23"/>
    <mergeCell ref="C24:E24"/>
    <mergeCell ref="H24:J24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83" orientation="portrait" horizontalDpi="4294967293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7FC70-EDD7-4B93-B045-EED360A17787}">
  <sheetPr>
    <pageSetUpPr fitToPage="1"/>
  </sheetPr>
  <dimension ref="A1:M25"/>
  <sheetViews>
    <sheetView workbookViewId="0">
      <selection activeCell="L14" sqref="L14"/>
    </sheetView>
  </sheetViews>
  <sheetFormatPr defaultRowHeight="15" x14ac:dyDescent="0.25"/>
  <cols>
    <col min="1" max="1" width="4" style="52" customWidth="1"/>
    <col min="2" max="15" width="10.28515625" customWidth="1"/>
  </cols>
  <sheetData>
    <row r="1" spans="2:13" ht="59.25" customHeight="1" x14ac:dyDescent="0.25">
      <c r="B1" s="1" t="s">
        <v>38</v>
      </c>
      <c r="C1" s="1"/>
      <c r="D1" s="1"/>
      <c r="E1" s="1"/>
      <c r="F1" s="1"/>
      <c r="G1" s="1"/>
      <c r="H1" s="1"/>
      <c r="I1" s="1"/>
      <c r="J1" s="1"/>
      <c r="K1" s="1"/>
    </row>
    <row r="2" spans="2:13" ht="15.75" thickBot="1" x14ac:dyDescent="0.3"/>
    <row r="3" spans="2:13" ht="30" customHeight="1" thickBot="1" x14ac:dyDescent="0.3">
      <c r="B3" s="2"/>
      <c r="C3" s="3" t="s">
        <v>0</v>
      </c>
      <c r="D3" s="4"/>
      <c r="E3" s="5"/>
      <c r="F3" s="6">
        <v>1</v>
      </c>
      <c r="G3" s="6">
        <v>2</v>
      </c>
      <c r="H3" s="7">
        <v>3</v>
      </c>
      <c r="I3" s="7">
        <v>4</v>
      </c>
      <c r="J3" s="2" t="s">
        <v>1</v>
      </c>
      <c r="K3" s="6" t="s">
        <v>2</v>
      </c>
      <c r="L3" s="71" t="s">
        <v>3</v>
      </c>
    </row>
    <row r="4" spans="2:13" ht="24" customHeight="1" x14ac:dyDescent="0.25">
      <c r="B4" s="10">
        <v>1</v>
      </c>
      <c r="C4" s="11" t="s">
        <v>39</v>
      </c>
      <c r="D4" s="12"/>
      <c r="E4" s="13"/>
      <c r="F4" s="14" t="s">
        <v>4</v>
      </c>
      <c r="G4" s="15" t="str">
        <f ca="1">INDIRECT(ADDRESS(21,6))&amp;":"&amp;INDIRECT(ADDRESS(21,7))</f>
        <v>7:13</v>
      </c>
      <c r="H4" s="15" t="str">
        <f ca="1">INDIRECT(ADDRESS(25,7))&amp;":"&amp;INDIRECT(ADDRESS(25,6))</f>
        <v>13:12</v>
      </c>
      <c r="I4" s="16" t="str">
        <f ca="1">INDIRECT(ADDRESS(16,6))&amp;":"&amp;INDIRECT(ADDRESS(16,7))</f>
        <v>8:12</v>
      </c>
      <c r="J4" s="70">
        <f ca="1">IF(COUNT(F5:I5)=0,"",COUNTIF(F5:I5,"&gt;0")+0.5*COUNTIF(F5:I5,0))</f>
        <v>1</v>
      </c>
      <c r="K4" s="17"/>
      <c r="L4" s="69">
        <v>4</v>
      </c>
    </row>
    <row r="5" spans="2:13" ht="24" customHeight="1" x14ac:dyDescent="0.25">
      <c r="B5" s="18"/>
      <c r="C5" s="19"/>
      <c r="D5" s="20"/>
      <c r="E5" s="21"/>
      <c r="F5" s="22" t="s">
        <v>4</v>
      </c>
      <c r="G5" s="23">
        <f ca="1">IF(LEN(INDIRECT(ADDRESS(ROW()-1, COLUMN())))=1,"",INDIRECT(ADDRESS(21,6))-INDIRECT(ADDRESS(21,7)))</f>
        <v>-6</v>
      </c>
      <c r="H5" s="23">
        <f ca="1">IF(LEN(INDIRECT(ADDRESS(ROW()-1, COLUMN())))=1,"",INDIRECT(ADDRESS(25,7))-INDIRECT(ADDRESS(25,6)))</f>
        <v>1</v>
      </c>
      <c r="I5" s="24">
        <f ca="1">IF(LEN(INDIRECT(ADDRESS(ROW()-1, COLUMN())))=1,"",INDIRECT(ADDRESS(16,6))-INDIRECT(ADDRESS(16,7)))</f>
        <v>-4</v>
      </c>
      <c r="J5" s="68"/>
      <c r="K5" s="23">
        <f ca="1">IF(COUNT(F5:I5)=0,"",SUM(F5:I5))</f>
        <v>-9</v>
      </c>
      <c r="L5" s="67"/>
    </row>
    <row r="6" spans="2:13" ht="24" customHeight="1" x14ac:dyDescent="0.25">
      <c r="B6" s="27">
        <v>2</v>
      </c>
      <c r="C6" s="19" t="s">
        <v>40</v>
      </c>
      <c r="D6" s="20"/>
      <c r="E6" s="21"/>
      <c r="F6" s="28" t="str">
        <f ca="1">INDIRECT(ADDRESS(21,7))&amp;":"&amp;INDIRECT(ADDRESS(21,6))</f>
        <v>13:7</v>
      </c>
      <c r="G6" s="29" t="s">
        <v>4</v>
      </c>
      <c r="H6" s="30" t="str">
        <f ca="1">INDIRECT(ADDRESS(17,6))&amp;":"&amp;INDIRECT(ADDRESS(17,7))</f>
        <v>9:7</v>
      </c>
      <c r="I6" s="31" t="str">
        <f ca="1">INDIRECT(ADDRESS(24,6))&amp;":"&amp;INDIRECT(ADDRESS(24,7))</f>
        <v>8:13</v>
      </c>
      <c r="J6" s="68">
        <f ca="1">IF(COUNT(F7:I7)=0,"",COUNTIF(F7:I7,"&gt;0")+0.5*COUNTIF(F7:I7,0))</f>
        <v>2</v>
      </c>
      <c r="K6" s="23"/>
      <c r="L6" s="67">
        <v>1</v>
      </c>
    </row>
    <row r="7" spans="2:13" ht="24" customHeight="1" x14ac:dyDescent="0.25">
      <c r="B7" s="18"/>
      <c r="C7" s="19"/>
      <c r="D7" s="20"/>
      <c r="E7" s="21"/>
      <c r="F7" s="33">
        <f ca="1">IF(LEN(INDIRECT(ADDRESS(ROW()-1, COLUMN())))=1,"",INDIRECT(ADDRESS(21,7))-INDIRECT(ADDRESS(21,6)))</f>
        <v>6</v>
      </c>
      <c r="G7" s="34" t="s">
        <v>4</v>
      </c>
      <c r="H7" s="23">
        <f ca="1">IF(LEN(INDIRECT(ADDRESS(ROW()-1, COLUMN())))=1,"",INDIRECT(ADDRESS(17,6))-INDIRECT(ADDRESS(17,7)))</f>
        <v>2</v>
      </c>
      <c r="I7" s="24">
        <f ca="1">IF(LEN(INDIRECT(ADDRESS(ROW()-1, COLUMN())))=1,"",INDIRECT(ADDRESS(24,6))-INDIRECT(ADDRESS(24,7)))</f>
        <v>-5</v>
      </c>
      <c r="J7" s="68"/>
      <c r="K7" s="23">
        <f ca="1">IF(COUNT(F7:I7)=0,"",SUM(F7:I7))</f>
        <v>3</v>
      </c>
      <c r="L7" s="67"/>
    </row>
    <row r="8" spans="2:13" ht="24" customHeight="1" x14ac:dyDescent="0.25">
      <c r="B8" s="27">
        <v>3</v>
      </c>
      <c r="C8" s="19" t="s">
        <v>41</v>
      </c>
      <c r="D8" s="20"/>
      <c r="E8" s="21"/>
      <c r="F8" s="28" t="str">
        <f ca="1">INDIRECT(ADDRESS(25,6))&amp;":"&amp;INDIRECT(ADDRESS(25,7))</f>
        <v>12:13</v>
      </c>
      <c r="G8" s="30" t="str">
        <f ca="1">INDIRECT(ADDRESS(17,7))&amp;":"&amp;INDIRECT(ADDRESS(17,6))</f>
        <v>7:9</v>
      </c>
      <c r="H8" s="29" t="s">
        <v>4</v>
      </c>
      <c r="I8" s="31" t="str">
        <f ca="1">INDIRECT(ADDRESS(20,7))&amp;":"&amp;INDIRECT(ADDRESS(20,6))</f>
        <v>8:4</v>
      </c>
      <c r="J8" s="68">
        <f ca="1">IF(COUNT(F9:I9)=0,"",COUNTIF(F9:I9,"&gt;0")+0.5*COUNTIF(F9:I9,0))</f>
        <v>1</v>
      </c>
      <c r="K8" s="23"/>
      <c r="L8" s="67">
        <v>3</v>
      </c>
    </row>
    <row r="9" spans="2:13" ht="24" customHeight="1" x14ac:dyDescent="0.25">
      <c r="B9" s="18"/>
      <c r="C9" s="19"/>
      <c r="D9" s="20"/>
      <c r="E9" s="21"/>
      <c r="F9" s="33">
        <f ca="1">IF(LEN(INDIRECT(ADDRESS(ROW()-1, COLUMN())))=1,"",INDIRECT(ADDRESS(25,6))-INDIRECT(ADDRESS(25,7)))</f>
        <v>-1</v>
      </c>
      <c r="G9" s="23">
        <f ca="1">IF(LEN(INDIRECT(ADDRESS(ROW()-1, COLUMN())))=1,"",INDIRECT(ADDRESS(17,7))-INDIRECT(ADDRESS(17,6)))</f>
        <v>-2</v>
      </c>
      <c r="H9" s="34" t="s">
        <v>4</v>
      </c>
      <c r="I9" s="24">
        <f ca="1">IF(LEN(INDIRECT(ADDRESS(ROW()-1, COLUMN())))=1,"",INDIRECT(ADDRESS(20,7))-INDIRECT(ADDRESS(20,6)))</f>
        <v>4</v>
      </c>
      <c r="J9" s="68"/>
      <c r="K9" s="23">
        <f ca="1">IF(COUNT(F9:I9)=0,"",SUM(F9:I9))</f>
        <v>1</v>
      </c>
      <c r="L9" s="67"/>
    </row>
    <row r="10" spans="2:13" ht="24" customHeight="1" x14ac:dyDescent="0.25">
      <c r="B10" s="27">
        <v>4</v>
      </c>
      <c r="C10" s="19" t="s">
        <v>42</v>
      </c>
      <c r="D10" s="20"/>
      <c r="E10" s="21"/>
      <c r="F10" s="28" t="str">
        <f ca="1">INDIRECT(ADDRESS(16,7))&amp;":"&amp;INDIRECT(ADDRESS(16,6))</f>
        <v>12:8</v>
      </c>
      <c r="G10" s="30" t="str">
        <f ca="1">INDIRECT(ADDRESS(24,7))&amp;":"&amp;INDIRECT(ADDRESS(24,6))</f>
        <v>13:8</v>
      </c>
      <c r="H10" s="30" t="str">
        <f ca="1">INDIRECT(ADDRESS(20,6))&amp;":"&amp;INDIRECT(ADDRESS(20,7))</f>
        <v>4:8</v>
      </c>
      <c r="I10" s="35" t="s">
        <v>4</v>
      </c>
      <c r="J10" s="68">
        <f ca="1">IF(COUNT(F11:I11)=0,"",COUNTIF(F11:I11,"&gt;0")+0.5*COUNTIF(F11:I11,0))</f>
        <v>2</v>
      </c>
      <c r="K10" s="23"/>
      <c r="L10" s="67">
        <v>2</v>
      </c>
    </row>
    <row r="11" spans="2:13" ht="24" customHeight="1" thickBot="1" x14ac:dyDescent="0.3">
      <c r="B11" s="36"/>
      <c r="C11" s="37"/>
      <c r="D11" s="38"/>
      <c r="E11" s="39"/>
      <c r="F11" s="40">
        <f ca="1">IF(LEN(INDIRECT(ADDRESS(ROW()-1, COLUMN())))=1,"",INDIRECT(ADDRESS(16,7))-INDIRECT(ADDRESS(16,6)))</f>
        <v>4</v>
      </c>
      <c r="G11" s="41">
        <f ca="1">IF(LEN(INDIRECT(ADDRESS(ROW()-1, COLUMN())))=1,"",INDIRECT(ADDRESS(24,7))-INDIRECT(ADDRESS(24,6)))</f>
        <v>5</v>
      </c>
      <c r="H11" s="41">
        <f ca="1">IF(LEN(INDIRECT(ADDRESS(ROW()-1, COLUMN())))=1,"",INDIRECT(ADDRESS(20,6))-INDIRECT(ADDRESS(20,7)))</f>
        <v>-4</v>
      </c>
      <c r="I11" s="42" t="s">
        <v>4</v>
      </c>
      <c r="J11" s="66"/>
      <c r="K11" s="41">
        <f ca="1">IF(COUNT(F11:I11)=0,"",SUM(F11:I11))</f>
        <v>5</v>
      </c>
      <c r="L11" s="65"/>
    </row>
    <row r="15" spans="2:13" ht="30" customHeight="1" thickBot="1" x14ac:dyDescent="0.3">
      <c r="B15" s="43" t="s">
        <v>5</v>
      </c>
      <c r="C15" s="43"/>
      <c r="D15" s="43"/>
      <c r="E15" s="43"/>
      <c r="F15" s="43"/>
      <c r="G15" s="43"/>
      <c r="H15" s="43"/>
      <c r="I15" s="43"/>
      <c r="J15" s="43"/>
      <c r="K15" s="43"/>
    </row>
    <row r="16" spans="2:13" ht="30" customHeight="1" thickBot="1" x14ac:dyDescent="0.3">
      <c r="B16" s="44">
        <v>1</v>
      </c>
      <c r="C16" s="45" t="str">
        <f ca="1">IF(ISBLANK(INDIRECT(ADDRESS(B16*2+2,3))),"",INDIRECT(ADDRESS(B16*2+2,3)))</f>
        <v>Ли</v>
      </c>
      <c r="D16" s="45"/>
      <c r="E16" s="46"/>
      <c r="F16" s="47">
        <v>8</v>
      </c>
      <c r="G16" s="48">
        <v>12</v>
      </c>
      <c r="H16" s="49" t="str">
        <f ca="1">IF(ISBLANK(INDIRECT(ADDRESS(K16*2+2,3))),"",INDIRECT(ADDRESS(K16*2+2,3)))</f>
        <v>Тарасов</v>
      </c>
      <c r="I16" s="45"/>
      <c r="J16" s="45"/>
      <c r="K16" s="44">
        <v>4</v>
      </c>
      <c r="L16" s="50" t="s">
        <v>6</v>
      </c>
      <c r="M16" s="64"/>
    </row>
    <row r="17" spans="2:13" ht="30" customHeight="1" thickBot="1" x14ac:dyDescent="0.3">
      <c r="B17" s="44">
        <v>2</v>
      </c>
      <c r="C17" s="45" t="str">
        <f ca="1">IF(ISBLANK(INDIRECT(ADDRESS(B17*2+2,3))),"",INDIRECT(ADDRESS(B17*2+2,3)))</f>
        <v>Поляков</v>
      </c>
      <c r="D17" s="45"/>
      <c r="E17" s="46"/>
      <c r="F17" s="47">
        <v>9</v>
      </c>
      <c r="G17" s="48">
        <v>7</v>
      </c>
      <c r="H17" s="49" t="str">
        <f ca="1">IF(ISBLANK(INDIRECT(ADDRESS(K17*2+2,3))),"",INDIRECT(ADDRESS(K17*2+2,3)))</f>
        <v>Папоян</v>
      </c>
      <c r="I17" s="45"/>
      <c r="J17" s="45"/>
      <c r="K17" s="44">
        <v>3</v>
      </c>
      <c r="L17" s="50" t="s">
        <v>6</v>
      </c>
      <c r="M17" s="64"/>
    </row>
    <row r="18" spans="2:13" ht="30" customHeight="1" x14ac:dyDescent="0.25"/>
    <row r="19" spans="2:13" ht="30" customHeight="1" thickBot="1" x14ac:dyDescent="0.3">
      <c r="B19" s="43" t="s">
        <v>7</v>
      </c>
      <c r="C19" s="43"/>
      <c r="D19" s="43"/>
      <c r="E19" s="43"/>
      <c r="F19" s="43"/>
      <c r="G19" s="43"/>
      <c r="H19" s="43"/>
      <c r="I19" s="43"/>
      <c r="J19" s="43"/>
      <c r="K19" s="43"/>
    </row>
    <row r="20" spans="2:13" ht="30" customHeight="1" thickBot="1" x14ac:dyDescent="0.3">
      <c r="B20" s="44">
        <v>4</v>
      </c>
      <c r="C20" s="45" t="str">
        <f ca="1">IF(ISBLANK(INDIRECT(ADDRESS(B20*2+2,3))),"",INDIRECT(ADDRESS(B20*2+2,3)))</f>
        <v>Тарасов</v>
      </c>
      <c r="D20" s="45"/>
      <c r="E20" s="46"/>
      <c r="F20" s="47">
        <v>4</v>
      </c>
      <c r="G20" s="48">
        <v>8</v>
      </c>
      <c r="H20" s="49" t="str">
        <f ca="1">IF(ISBLANK(INDIRECT(ADDRESS(K20*2+2,3))),"",INDIRECT(ADDRESS(K20*2+2,3)))</f>
        <v>Папоян</v>
      </c>
      <c r="I20" s="45"/>
      <c r="J20" s="45"/>
      <c r="K20" s="44">
        <v>3</v>
      </c>
      <c r="L20" s="50" t="s">
        <v>6</v>
      </c>
      <c r="M20" s="64"/>
    </row>
    <row r="21" spans="2:13" ht="30" customHeight="1" thickBot="1" x14ac:dyDescent="0.3">
      <c r="B21" s="44">
        <v>1</v>
      </c>
      <c r="C21" s="45" t="str">
        <f ca="1">IF(ISBLANK(INDIRECT(ADDRESS(B21*2+2,3))),"",INDIRECT(ADDRESS(B21*2+2,3)))</f>
        <v>Ли</v>
      </c>
      <c r="D21" s="45"/>
      <c r="E21" s="46"/>
      <c r="F21" s="47">
        <v>7</v>
      </c>
      <c r="G21" s="48">
        <v>13</v>
      </c>
      <c r="H21" s="49" t="str">
        <f ca="1">IF(ISBLANK(INDIRECT(ADDRESS(K21*2+2,3))),"",INDIRECT(ADDRESS(K21*2+2,3)))</f>
        <v>Поляков</v>
      </c>
      <c r="I21" s="45"/>
      <c r="J21" s="45"/>
      <c r="K21" s="44">
        <v>2</v>
      </c>
      <c r="L21" s="50" t="s">
        <v>6</v>
      </c>
      <c r="M21" s="64"/>
    </row>
    <row r="22" spans="2:13" ht="30" customHeight="1" x14ac:dyDescent="0.25"/>
    <row r="23" spans="2:13" ht="30" customHeight="1" thickBot="1" x14ac:dyDescent="0.3">
      <c r="B23" s="43" t="s">
        <v>8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3" ht="30" customHeight="1" thickBot="1" x14ac:dyDescent="0.3">
      <c r="B24" s="44">
        <v>2</v>
      </c>
      <c r="C24" s="45" t="str">
        <f ca="1">IF(ISBLANK(INDIRECT(ADDRESS(B24*2+2,3))),"",INDIRECT(ADDRESS(B24*2+2,3)))</f>
        <v>Поляков</v>
      </c>
      <c r="D24" s="45"/>
      <c r="E24" s="46"/>
      <c r="F24" s="47">
        <v>8</v>
      </c>
      <c r="G24" s="48">
        <v>13</v>
      </c>
      <c r="H24" s="49" t="str">
        <f ca="1">IF(ISBLANK(INDIRECT(ADDRESS(K24*2+2,3))),"",INDIRECT(ADDRESS(K24*2+2,3)))</f>
        <v>Тарасов</v>
      </c>
      <c r="I24" s="45"/>
      <c r="J24" s="45"/>
      <c r="K24" s="44">
        <v>4</v>
      </c>
      <c r="L24" s="50" t="s">
        <v>6</v>
      </c>
      <c r="M24" s="64"/>
    </row>
    <row r="25" spans="2:13" ht="30" customHeight="1" thickBot="1" x14ac:dyDescent="0.3">
      <c r="B25" s="44">
        <v>3</v>
      </c>
      <c r="C25" s="45" t="str">
        <f ca="1">IF(ISBLANK(INDIRECT(ADDRESS(B25*2+2,3))),"",INDIRECT(ADDRESS(B25*2+2,3)))</f>
        <v>Папоян</v>
      </c>
      <c r="D25" s="45"/>
      <c r="E25" s="46"/>
      <c r="F25" s="47">
        <v>12</v>
      </c>
      <c r="G25" s="48">
        <v>13</v>
      </c>
      <c r="H25" s="49" t="str">
        <f ca="1">IF(ISBLANK(INDIRECT(ADDRESS(K25*2+2,3))),"",INDIRECT(ADDRESS(K25*2+2,3)))</f>
        <v>Ли</v>
      </c>
      <c r="I25" s="45"/>
      <c r="J25" s="45"/>
      <c r="K25" s="44">
        <v>1</v>
      </c>
      <c r="L25" s="50" t="s">
        <v>6</v>
      </c>
      <c r="M25" s="64"/>
    </row>
  </sheetData>
  <mergeCells count="33">
    <mergeCell ref="B23:K23"/>
    <mergeCell ref="C24:E24"/>
    <mergeCell ref="H24:J24"/>
    <mergeCell ref="C25:E25"/>
    <mergeCell ref="H25:J25"/>
    <mergeCell ref="C17:E17"/>
    <mergeCell ref="H17:J17"/>
    <mergeCell ref="B19:K19"/>
    <mergeCell ref="C20:E20"/>
    <mergeCell ref="H20:J20"/>
    <mergeCell ref="C21:E21"/>
    <mergeCell ref="H21:J21"/>
    <mergeCell ref="B10:B11"/>
    <mergeCell ref="C10:E11"/>
    <mergeCell ref="J10:J11"/>
    <mergeCell ref="L10:L11"/>
    <mergeCell ref="B15:K15"/>
    <mergeCell ref="C16:E16"/>
    <mergeCell ref="H16:J16"/>
    <mergeCell ref="B6:B7"/>
    <mergeCell ref="C6:E7"/>
    <mergeCell ref="J6:J7"/>
    <mergeCell ref="L6:L7"/>
    <mergeCell ref="B8:B9"/>
    <mergeCell ref="C8:E9"/>
    <mergeCell ref="J8:J9"/>
    <mergeCell ref="L8:L9"/>
    <mergeCell ref="B1:K1"/>
    <mergeCell ref="C3:E3"/>
    <mergeCell ref="B4:B5"/>
    <mergeCell ref="C4:E5"/>
    <mergeCell ref="J4:J5"/>
    <mergeCell ref="L4:L5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83" orientation="portrait" horizontalDpi="4294967293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9CF20-2724-4392-95F9-99F39F49EEA6}">
  <sheetPr>
    <pageSetUpPr fitToPage="1"/>
  </sheetPr>
  <dimension ref="A1:O40"/>
  <sheetViews>
    <sheetView tabSelected="1" zoomScaleNormal="100" workbookViewId="0">
      <selection activeCell="O35" sqref="O35"/>
    </sheetView>
  </sheetViews>
  <sheetFormatPr defaultRowHeight="15" customHeight="1" x14ac:dyDescent="0.25"/>
  <cols>
    <col min="1" max="1" width="9.140625" style="52"/>
    <col min="2" max="15" width="9.140625" style="51" customWidth="1"/>
    <col min="16" max="16384" width="9.140625" style="51"/>
  </cols>
  <sheetData>
    <row r="1" spans="2:13" ht="59.25" customHeight="1" x14ac:dyDescent="0.25">
      <c r="B1" s="1" t="s">
        <v>43</v>
      </c>
      <c r="C1" s="1"/>
      <c r="D1" s="1"/>
      <c r="E1" s="1"/>
      <c r="F1" s="1"/>
      <c r="G1" s="1"/>
      <c r="H1" s="1"/>
      <c r="I1" s="1"/>
      <c r="J1" s="1"/>
      <c r="K1" s="1"/>
    </row>
    <row r="2" spans="2:13" ht="15" customHeight="1" x14ac:dyDescent="0.25">
      <c r="C2" s="62"/>
    </row>
    <row r="3" spans="2:13" ht="15" customHeight="1" x14ac:dyDescent="0.25">
      <c r="C3" s="62"/>
    </row>
    <row r="4" spans="2:13" ht="15" customHeight="1" x14ac:dyDescent="0.25">
      <c r="B4" s="56" t="s">
        <v>37</v>
      </c>
      <c r="C4" s="55"/>
      <c r="D4" s="54">
        <v>9</v>
      </c>
      <c r="E4" s="61"/>
    </row>
    <row r="5" spans="2:13" ht="15" customHeight="1" x14ac:dyDescent="0.25">
      <c r="C5" s="62"/>
      <c r="E5" s="59"/>
    </row>
    <row r="6" spans="2:13" ht="15" customHeight="1" x14ac:dyDescent="0.25">
      <c r="B6" s="50" t="s">
        <v>6</v>
      </c>
      <c r="C6" s="62"/>
      <c r="E6" s="57"/>
      <c r="F6" s="58" t="str">
        <f>IF(ISBLANK(D4),"",IF(D4&gt;D8,B4,B8))</f>
        <v>Ли</v>
      </c>
      <c r="G6" s="55"/>
      <c r="H6" s="54">
        <v>9</v>
      </c>
      <c r="I6" s="61"/>
    </row>
    <row r="7" spans="2:13" ht="15" customHeight="1" x14ac:dyDescent="0.25">
      <c r="C7" s="62"/>
      <c r="E7" s="57"/>
      <c r="I7" s="59"/>
    </row>
    <row r="8" spans="2:13" ht="15" customHeight="1" x14ac:dyDescent="0.25">
      <c r="B8" s="56" t="s">
        <v>39</v>
      </c>
      <c r="C8" s="55"/>
      <c r="D8" s="54">
        <v>10</v>
      </c>
      <c r="E8" s="53"/>
      <c r="I8" s="57"/>
    </row>
    <row r="9" spans="2:13" ht="15" customHeight="1" x14ac:dyDescent="0.25">
      <c r="C9" s="62"/>
      <c r="I9" s="57"/>
    </row>
    <row r="10" spans="2:13" ht="15" customHeight="1" x14ac:dyDescent="0.25">
      <c r="C10" s="62"/>
      <c r="F10" s="50" t="s">
        <v>6</v>
      </c>
      <c r="H10" s="62"/>
      <c r="I10" s="57"/>
      <c r="J10" s="58" t="str">
        <f>IF(ISBLANK(H6),"",IF(H6&gt;H14,F6,F14))</f>
        <v>Новиков</v>
      </c>
      <c r="K10" s="56"/>
      <c r="L10" s="54">
        <v>13</v>
      </c>
      <c r="M10" s="61"/>
    </row>
    <row r="11" spans="2:13" ht="15" customHeight="1" x14ac:dyDescent="0.25">
      <c r="C11" s="62"/>
      <c r="I11" s="57"/>
      <c r="M11" s="59"/>
    </row>
    <row r="12" spans="2:13" ht="15" customHeight="1" x14ac:dyDescent="0.25">
      <c r="B12" s="56" t="s">
        <v>42</v>
      </c>
      <c r="C12" s="55"/>
      <c r="D12" s="54">
        <v>9</v>
      </c>
      <c r="E12" s="61"/>
      <c r="I12" s="57"/>
      <c r="M12" s="57"/>
    </row>
    <row r="13" spans="2:13" ht="15" customHeight="1" x14ac:dyDescent="0.25">
      <c r="C13" s="62"/>
      <c r="E13" s="59"/>
      <c r="I13" s="57"/>
      <c r="M13" s="57"/>
    </row>
    <row r="14" spans="2:13" ht="15" customHeight="1" x14ac:dyDescent="0.25">
      <c r="B14" s="50" t="s">
        <v>6</v>
      </c>
      <c r="C14" s="62"/>
      <c r="E14" s="57"/>
      <c r="F14" s="58" t="str">
        <f>IF(ISBLANK(D12),"",IF(D12&gt;D16,B12,B16))</f>
        <v>Новиков</v>
      </c>
      <c r="G14" s="55"/>
      <c r="H14" s="54">
        <v>13</v>
      </c>
      <c r="I14" s="53"/>
      <c r="M14" s="57"/>
    </row>
    <row r="15" spans="2:13" ht="15" customHeight="1" x14ac:dyDescent="0.25">
      <c r="E15" s="57"/>
      <c r="M15" s="57"/>
    </row>
    <row r="16" spans="2:13" ht="15" customHeight="1" x14ac:dyDescent="0.25">
      <c r="B16" s="56" t="s">
        <v>20</v>
      </c>
      <c r="C16" s="55"/>
      <c r="D16" s="54">
        <v>10</v>
      </c>
      <c r="E16" s="53"/>
      <c r="M16" s="57"/>
    </row>
    <row r="17" spans="2:15" ht="15" customHeight="1" x14ac:dyDescent="0.25">
      <c r="M17" s="57"/>
    </row>
    <row r="18" spans="2:15" ht="15" customHeight="1" x14ac:dyDescent="0.25">
      <c r="B18" s="50"/>
      <c r="J18" s="50" t="s">
        <v>6</v>
      </c>
      <c r="L18" s="62"/>
      <c r="M18" s="57"/>
      <c r="N18" s="58" t="str">
        <f>IF(ISBLANK(L10),"",IF(L10&gt;L26,J10,J26))</f>
        <v>Новиков</v>
      </c>
      <c r="O18" s="56"/>
    </row>
    <row r="19" spans="2:15" ht="15" customHeight="1" x14ac:dyDescent="0.25">
      <c r="M19" s="57"/>
    </row>
    <row r="20" spans="2:15" ht="15" customHeight="1" x14ac:dyDescent="0.25">
      <c r="B20" s="56" t="s">
        <v>36</v>
      </c>
      <c r="C20" s="55"/>
      <c r="D20" s="54">
        <v>2</v>
      </c>
      <c r="E20" s="61"/>
      <c r="M20" s="57"/>
    </row>
    <row r="21" spans="2:15" ht="15" customHeight="1" x14ac:dyDescent="0.25">
      <c r="E21" s="59"/>
      <c r="M21" s="57"/>
    </row>
    <row r="22" spans="2:15" ht="15" customHeight="1" x14ac:dyDescent="0.25">
      <c r="B22" s="50" t="s">
        <v>6</v>
      </c>
      <c r="C22" s="62"/>
      <c r="E22" s="57"/>
      <c r="F22" s="58" t="str">
        <f>IF(ISBLANK(D20),"",IF(D20&gt;D24,B20,B24))</f>
        <v>Папоян</v>
      </c>
      <c r="G22" s="55"/>
      <c r="H22" s="54">
        <v>7</v>
      </c>
      <c r="I22" s="61"/>
      <c r="M22" s="57"/>
    </row>
    <row r="23" spans="2:15" ht="15" customHeight="1" x14ac:dyDescent="0.25">
      <c r="E23" s="57"/>
      <c r="I23" s="59"/>
      <c r="M23" s="57"/>
    </row>
    <row r="24" spans="2:15" ht="15" customHeight="1" x14ac:dyDescent="0.25">
      <c r="B24" s="56" t="s">
        <v>41</v>
      </c>
      <c r="C24" s="55"/>
      <c r="D24" s="54">
        <v>13</v>
      </c>
      <c r="E24" s="53"/>
      <c r="I24" s="57"/>
      <c r="M24" s="57"/>
    </row>
    <row r="25" spans="2:15" ht="15" customHeight="1" x14ac:dyDescent="0.25">
      <c r="I25" s="57"/>
      <c r="M25" s="57"/>
    </row>
    <row r="26" spans="2:15" ht="15" customHeight="1" x14ac:dyDescent="0.25">
      <c r="F26" s="50" t="s">
        <v>6</v>
      </c>
      <c r="H26" s="62"/>
      <c r="I26" s="57"/>
      <c r="J26" s="58" t="str">
        <f>IF(ISBLANK(H22),"",IF(H22&gt;H30,F22,F30))</f>
        <v>Воронов</v>
      </c>
      <c r="K26" s="55"/>
      <c r="L26" s="54">
        <v>6</v>
      </c>
      <c r="M26" s="53"/>
    </row>
    <row r="27" spans="2:15" ht="15" customHeight="1" x14ac:dyDescent="0.25">
      <c r="I27" s="57"/>
    </row>
    <row r="28" spans="2:15" ht="15" customHeight="1" x14ac:dyDescent="0.25">
      <c r="B28" s="56" t="s">
        <v>19</v>
      </c>
      <c r="C28" s="55"/>
      <c r="D28" s="54">
        <v>12</v>
      </c>
      <c r="E28" s="61"/>
      <c r="I28" s="57"/>
    </row>
    <row r="29" spans="2:15" ht="15" customHeight="1" x14ac:dyDescent="0.25">
      <c r="E29" s="59"/>
      <c r="I29" s="57"/>
    </row>
    <row r="30" spans="2:15" ht="15" customHeight="1" x14ac:dyDescent="0.25">
      <c r="B30" s="50" t="s">
        <v>6</v>
      </c>
      <c r="C30" s="62"/>
      <c r="E30" s="57"/>
      <c r="F30" s="58" t="str">
        <f>IF(ISBLANK(D28),"",IF(D28&gt;D32,B28,B32))</f>
        <v>Воронов</v>
      </c>
      <c r="G30" s="55"/>
      <c r="H30" s="54">
        <v>13</v>
      </c>
      <c r="I30" s="53"/>
    </row>
    <row r="31" spans="2:15" ht="15" customHeight="1" x14ac:dyDescent="0.25">
      <c r="E31" s="57"/>
    </row>
    <row r="32" spans="2:15" ht="15" customHeight="1" x14ac:dyDescent="0.25">
      <c r="B32" s="56" t="s">
        <v>40</v>
      </c>
      <c r="C32" s="55"/>
      <c r="D32" s="54">
        <v>5</v>
      </c>
      <c r="E32" s="53"/>
    </row>
    <row r="36" spans="2:7" ht="15" customHeight="1" x14ac:dyDescent="0.25">
      <c r="B36" s="56" t="str">
        <f>IF(ISBLANK(H6),"",IF(H6&gt;H14,F14,F6))</f>
        <v>Ли</v>
      </c>
      <c r="C36" s="55"/>
      <c r="D36" s="54">
        <v>13</v>
      </c>
      <c r="E36" s="61"/>
      <c r="F36" s="60"/>
      <c r="G36" s="60"/>
    </row>
    <row r="37" spans="2:7" ht="15" customHeight="1" x14ac:dyDescent="0.25">
      <c r="E37" s="59"/>
    </row>
    <row r="38" spans="2:7" ht="15" customHeight="1" x14ac:dyDescent="0.25">
      <c r="B38" s="50" t="s">
        <v>6</v>
      </c>
      <c r="E38" s="57"/>
      <c r="F38" s="58" t="str">
        <f>IF(ISBLANK(D36),"",IF(D36&gt;D40,B36,B40))</f>
        <v>Ли</v>
      </c>
      <c r="G38" s="56"/>
    </row>
    <row r="39" spans="2:7" ht="15" customHeight="1" x14ac:dyDescent="0.25">
      <c r="E39" s="57"/>
    </row>
    <row r="40" spans="2:7" ht="15" customHeight="1" x14ac:dyDescent="0.25">
      <c r="B40" s="56" t="str">
        <f>IF(ISBLANK(H22),"",IF(H22&gt;H30,F30,F22))</f>
        <v>Папоян</v>
      </c>
      <c r="C40" s="55"/>
      <c r="D40" s="54">
        <v>4</v>
      </c>
      <c r="E40" s="53"/>
    </row>
  </sheetData>
  <mergeCells count="20">
    <mergeCell ref="B40:C40"/>
    <mergeCell ref="B28:C28"/>
    <mergeCell ref="F30:G30"/>
    <mergeCell ref="B32:C32"/>
    <mergeCell ref="B36:C36"/>
    <mergeCell ref="F36:G36"/>
    <mergeCell ref="F38:G38"/>
    <mergeCell ref="N18:O18"/>
    <mergeCell ref="B20:C20"/>
    <mergeCell ref="F22:G22"/>
    <mergeCell ref="B16:C16"/>
    <mergeCell ref="F14:G14"/>
    <mergeCell ref="J26:K26"/>
    <mergeCell ref="B24:C24"/>
    <mergeCell ref="B1:K1"/>
    <mergeCell ref="B4:C4"/>
    <mergeCell ref="F6:G6"/>
    <mergeCell ref="B8:C8"/>
    <mergeCell ref="J10:K10"/>
    <mergeCell ref="B12:C12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Регистрация</vt:lpstr>
      <vt:lpstr>Группа А</vt:lpstr>
      <vt:lpstr>Группа В</vt:lpstr>
      <vt:lpstr>Группа С</vt:lpstr>
      <vt:lpstr>Лист5</vt:lpstr>
      <vt:lpstr>Кубок А триплеты</vt:lpstr>
      <vt:lpstr>Дуплеты женские</vt:lpstr>
      <vt:lpstr>Плей офф (ж)</vt:lpstr>
      <vt:lpstr>Группа А (м)</vt:lpstr>
      <vt:lpstr>Группа В (м)</vt:lpstr>
      <vt:lpstr>Плей офф (м)</vt:lpstr>
      <vt:lpstr>Регистрация!_Hlk203748158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wolf_cs@mail.ru</dc:creator>
  <cp:lastModifiedBy>wolf_cs@mail.ru</cp:lastModifiedBy>
  <dcterms:created xsi:type="dcterms:W3CDTF">2025-07-24T16:09:40Z</dcterms:created>
  <dcterms:modified xsi:type="dcterms:W3CDTF">2025-07-24T17:07:48Z</dcterms:modified>
</cp:coreProperties>
</file>