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\tihonov_d\Documents\Петанк\турниры\Зимний тет\2026\"/>
    </mc:Choice>
  </mc:AlternateContent>
  <bookViews>
    <workbookView xWindow="0" yWindow="60" windowWidth="20730" windowHeight="11700" firstSheet="12" activeTab="23"/>
  </bookViews>
  <sheets>
    <sheet name="ПоМ1" sheetId="34" r:id="rId1"/>
    <sheet name="ПоМ2" sheetId="35" r:id="rId2"/>
    <sheet name="ПоМ3" sheetId="52" r:id="rId3"/>
    <sheet name="ТМ1" sheetId="36" r:id="rId4"/>
    <sheet name="ТМ2" sheetId="39" r:id="rId5"/>
    <sheet name="ТМ3" sheetId="57" r:id="rId6"/>
    <sheet name="ПМ1" sheetId="37" r:id="rId7"/>
    <sheet name="ПМ2" sheetId="38" r:id="rId8"/>
    <sheet name="ПМ3" sheetId="40" r:id="rId9"/>
    <sheet name="ПМ4" sheetId="53" r:id="rId10"/>
    <sheet name="НМ1" sheetId="41" r:id="rId11"/>
    <sheet name="ДМ1" sheetId="43" r:id="rId12"/>
    <sheet name="ММ1" sheetId="42" r:id="rId13"/>
    <sheet name="ММ2" sheetId="45" r:id="rId14"/>
    <sheet name="ММ3" sheetId="46" r:id="rId15"/>
    <sheet name="ММ4" sheetId="47" r:id="rId16"/>
    <sheet name="ММ5" sheetId="55" r:id="rId17"/>
    <sheet name="ММ6" sheetId="48" r:id="rId18"/>
    <sheet name="ММ7" sheetId="56" r:id="rId19"/>
    <sheet name="ПЗМ1" sheetId="54" r:id="rId20"/>
    <sheet name="КМ1" sheetId="49" r:id="rId21"/>
    <sheet name="КМ2" sheetId="50" r:id="rId22"/>
    <sheet name="Лист ож Москва" sheetId="44" r:id="rId23"/>
    <sheet name="Финалисты" sheetId="51" r:id="rId24"/>
    <sheet name="Служебный лист" sheetId="4" state="hidden" r:id="rId25"/>
  </sheets>
  <calcPr calcId="162913" refMode="R1C1"/>
</workbook>
</file>

<file path=xl/calcChain.xml><?xml version="1.0" encoding="utf-8"?>
<calcChain xmlns="http://schemas.openxmlformats.org/spreadsheetml/2006/main">
  <c r="E4" i="44" l="1"/>
  <c r="C4" i="44"/>
  <c r="E9" i="44"/>
  <c r="C9" i="44"/>
  <c r="H45" i="57"/>
  <c r="C45" i="57"/>
  <c r="H44" i="57"/>
  <c r="C44" i="57"/>
  <c r="H41" i="57"/>
  <c r="C41" i="57"/>
  <c r="H40" i="57"/>
  <c r="C40" i="57"/>
  <c r="H37" i="57"/>
  <c r="C37" i="57"/>
  <c r="H36" i="57"/>
  <c r="C36" i="57"/>
  <c r="H33" i="57"/>
  <c r="C33" i="57"/>
  <c r="H32" i="57"/>
  <c r="C32" i="57"/>
  <c r="H29" i="57"/>
  <c r="C29" i="57"/>
  <c r="H28" i="57"/>
  <c r="C28" i="57"/>
  <c r="H25" i="57"/>
  <c r="C25" i="57"/>
  <c r="H24" i="57"/>
  <c r="C24" i="57"/>
  <c r="H18" i="57"/>
  <c r="K16" i="57"/>
  <c r="H16" i="57"/>
  <c r="H17" i="57" s="1"/>
  <c r="M14" i="57"/>
  <c r="J18" i="57" s="1"/>
  <c r="L14" i="57"/>
  <c r="L15" i="57" s="1"/>
  <c r="I14" i="57"/>
  <c r="F14" i="57"/>
  <c r="L13" i="57"/>
  <c r="M12" i="57"/>
  <c r="J16" i="57" s="1"/>
  <c r="J17" i="57" s="1"/>
  <c r="L12" i="57"/>
  <c r="I12" i="57"/>
  <c r="G12" i="57"/>
  <c r="M10" i="57"/>
  <c r="L10" i="57"/>
  <c r="I18" i="57" s="1"/>
  <c r="K10" i="57"/>
  <c r="J11" i="57" s="1"/>
  <c r="J10" i="57"/>
  <c r="M8" i="57"/>
  <c r="L8" i="57"/>
  <c r="I16" i="57" s="1"/>
  <c r="K8" i="57"/>
  <c r="H12" i="57" s="1"/>
  <c r="H13" i="57" s="1"/>
  <c r="J8" i="57"/>
  <c r="J9" i="57" s="1"/>
  <c r="M6" i="57"/>
  <c r="F18" i="57" s="1"/>
  <c r="L6" i="57"/>
  <c r="L7" i="57" s="1"/>
  <c r="K6" i="57"/>
  <c r="J7" i="57" s="1"/>
  <c r="J6" i="57"/>
  <c r="G14" i="57" s="1"/>
  <c r="I6" i="57"/>
  <c r="F10" i="57" s="1"/>
  <c r="H6" i="57"/>
  <c r="G10" i="57" s="1"/>
  <c r="J5" i="57"/>
  <c r="M4" i="57"/>
  <c r="F16" i="57" s="1"/>
  <c r="L4" i="57"/>
  <c r="L5" i="57" s="1"/>
  <c r="K4" i="57"/>
  <c r="F12" i="57" s="1"/>
  <c r="J4" i="57"/>
  <c r="I4" i="57"/>
  <c r="F8" i="57" s="1"/>
  <c r="H4" i="57"/>
  <c r="G8" i="57" s="1"/>
  <c r="H45" i="39"/>
  <c r="C45" i="39"/>
  <c r="H44" i="39"/>
  <c r="C44" i="39"/>
  <c r="H41" i="39"/>
  <c r="C41" i="39"/>
  <c r="H40" i="39"/>
  <c r="C40" i="39"/>
  <c r="H37" i="39"/>
  <c r="C37" i="39"/>
  <c r="H36" i="39"/>
  <c r="C36" i="39"/>
  <c r="H33" i="39"/>
  <c r="C33" i="39"/>
  <c r="H32" i="39"/>
  <c r="C32" i="39"/>
  <c r="H29" i="39"/>
  <c r="C29" i="39"/>
  <c r="H28" i="39"/>
  <c r="C28" i="39"/>
  <c r="H25" i="39"/>
  <c r="C25" i="39"/>
  <c r="H24" i="39"/>
  <c r="C24" i="39"/>
  <c r="K18" i="39"/>
  <c r="K16" i="39"/>
  <c r="M14" i="39"/>
  <c r="J18" i="39" s="1"/>
  <c r="J19" i="39" s="1"/>
  <c r="L14" i="39"/>
  <c r="L15" i="39" s="1"/>
  <c r="L13" i="39"/>
  <c r="M12" i="39"/>
  <c r="J16" i="39" s="1"/>
  <c r="J17" i="39" s="1"/>
  <c r="L12" i="39"/>
  <c r="M10" i="39"/>
  <c r="H18" i="39" s="1"/>
  <c r="H19" i="39" s="1"/>
  <c r="L10" i="39"/>
  <c r="I18" i="39" s="1"/>
  <c r="K10" i="39"/>
  <c r="H14" i="39" s="1"/>
  <c r="J10" i="39"/>
  <c r="I14" i="39" s="1"/>
  <c r="L9" i="39"/>
  <c r="M8" i="39"/>
  <c r="H16" i="39" s="1"/>
  <c r="L8" i="39"/>
  <c r="I16" i="39" s="1"/>
  <c r="K8" i="39"/>
  <c r="H12" i="39" s="1"/>
  <c r="J8" i="39"/>
  <c r="J9" i="39" s="1"/>
  <c r="M6" i="39"/>
  <c r="F18" i="39" s="1"/>
  <c r="L6" i="39"/>
  <c r="G18" i="39" s="1"/>
  <c r="K6" i="39"/>
  <c r="J7" i="39" s="1"/>
  <c r="J6" i="39"/>
  <c r="G14" i="39" s="1"/>
  <c r="I6" i="39"/>
  <c r="F10" i="39" s="1"/>
  <c r="H6" i="39"/>
  <c r="G10" i="39" s="1"/>
  <c r="M4" i="39"/>
  <c r="F16" i="39" s="1"/>
  <c r="L4" i="39"/>
  <c r="L5" i="39" s="1"/>
  <c r="K4" i="39"/>
  <c r="F12" i="39" s="1"/>
  <c r="J4" i="39"/>
  <c r="G12" i="39" s="1"/>
  <c r="I4" i="39"/>
  <c r="F8" i="39" s="1"/>
  <c r="H4" i="39"/>
  <c r="R5" i="39" s="1"/>
  <c r="O12" i="36"/>
  <c r="O10" i="36"/>
  <c r="O8" i="36"/>
  <c r="F9" i="57" l="1"/>
  <c r="O8" i="57"/>
  <c r="R9" i="57"/>
  <c r="F17" i="57"/>
  <c r="R17" i="57"/>
  <c r="F15" i="57"/>
  <c r="F13" i="57"/>
  <c r="O12" i="57"/>
  <c r="F11" i="57"/>
  <c r="F19" i="57"/>
  <c r="H19" i="57"/>
  <c r="H5" i="57"/>
  <c r="O4" i="57"/>
  <c r="L9" i="57"/>
  <c r="H14" i="57"/>
  <c r="H15" i="57" s="1"/>
  <c r="G16" i="57"/>
  <c r="O16" i="57" s="1"/>
  <c r="G18" i="57"/>
  <c r="K18" i="57"/>
  <c r="J19" i="57" s="1"/>
  <c r="L11" i="57"/>
  <c r="H7" i="57"/>
  <c r="H15" i="39"/>
  <c r="R9" i="39"/>
  <c r="O8" i="39"/>
  <c r="R17" i="39"/>
  <c r="O16" i="39"/>
  <c r="F13" i="39"/>
  <c r="F11" i="39"/>
  <c r="F19" i="39"/>
  <c r="H17" i="39"/>
  <c r="J5" i="39"/>
  <c r="L11" i="39"/>
  <c r="I12" i="39"/>
  <c r="H13" i="39" s="1"/>
  <c r="H5" i="39"/>
  <c r="L7" i="39"/>
  <c r="J11" i="39"/>
  <c r="G16" i="39"/>
  <c r="F17" i="39" s="1"/>
  <c r="N16" i="39" s="1"/>
  <c r="H7" i="39"/>
  <c r="G8" i="39"/>
  <c r="F9" i="39" s="1"/>
  <c r="N8" i="39" s="1"/>
  <c r="F14" i="39"/>
  <c r="F15" i="39" s="1"/>
  <c r="O4" i="39"/>
  <c r="H30" i="54"/>
  <c r="H40" i="54"/>
  <c r="H6" i="36"/>
  <c r="J10" i="36"/>
  <c r="F14" i="54"/>
  <c r="C23" i="41"/>
  <c r="G12" i="54"/>
  <c r="J4" i="54"/>
  <c r="G12" i="36"/>
  <c r="J4" i="36"/>
  <c r="C30" i="54"/>
  <c r="C36" i="54"/>
  <c r="C21" i="54"/>
  <c r="C40" i="54"/>
  <c r="H25" i="54"/>
  <c r="K10" i="54"/>
  <c r="C20" i="41"/>
  <c r="C31" i="54"/>
  <c r="H4" i="41"/>
  <c r="H41" i="54"/>
  <c r="G4" i="36"/>
  <c r="H12" i="36"/>
  <c r="J8" i="54"/>
  <c r="H22" i="54"/>
  <c r="H6" i="54"/>
  <c r="H14" i="41"/>
  <c r="C29" i="41"/>
  <c r="H30" i="36"/>
  <c r="C34" i="36"/>
  <c r="J6" i="54"/>
  <c r="I14" i="54"/>
  <c r="F6" i="54"/>
  <c r="K6" i="54"/>
  <c r="F6" i="41"/>
  <c r="C42" i="54"/>
  <c r="H26" i="36"/>
  <c r="C27" i="36"/>
  <c r="K8" i="54"/>
  <c r="G8" i="41"/>
  <c r="G9" i="41" s="1"/>
  <c r="C18" i="36"/>
  <c r="H35" i="36"/>
  <c r="H31" i="36"/>
  <c r="I4" i="36"/>
  <c r="C30" i="36"/>
  <c r="C32" i="54"/>
  <c r="C17" i="41"/>
  <c r="C37" i="54"/>
  <c r="H32" i="54"/>
  <c r="H14" i="54"/>
  <c r="C26" i="41"/>
  <c r="F12" i="54"/>
  <c r="H18" i="36"/>
  <c r="C19" i="36"/>
  <c r="G10" i="36"/>
  <c r="F10" i="36"/>
  <c r="G11" i="36"/>
  <c r="H4" i="54"/>
  <c r="J10" i="54"/>
  <c r="C22" i="54"/>
  <c r="I12" i="36"/>
  <c r="G8" i="54"/>
  <c r="G10" i="54"/>
  <c r="H10" i="54"/>
  <c r="I8" i="36"/>
  <c r="H10" i="36"/>
  <c r="J6" i="36"/>
  <c r="G4" i="54"/>
  <c r="H26" i="41"/>
  <c r="H42" i="54"/>
  <c r="F8" i="41"/>
  <c r="C26" i="54"/>
  <c r="H35" i="54"/>
  <c r="H20" i="54"/>
  <c r="F10" i="54"/>
  <c r="F6" i="36"/>
  <c r="H36" i="54"/>
  <c r="K12" i="54"/>
  <c r="C23" i="36"/>
  <c r="H22" i="36"/>
  <c r="H23" i="36"/>
  <c r="I6" i="54"/>
  <c r="C22" i="36"/>
  <c r="G4" i="41"/>
  <c r="H17" i="41"/>
  <c r="C31" i="36"/>
  <c r="H34" i="36"/>
  <c r="K13" i="54"/>
  <c r="H23" i="41"/>
  <c r="C35" i="36"/>
  <c r="H27" i="54"/>
  <c r="F8" i="36"/>
  <c r="G13" i="36"/>
  <c r="J8" i="36"/>
  <c r="H12" i="54"/>
  <c r="G8" i="36"/>
  <c r="I8" i="54"/>
  <c r="C20" i="54"/>
  <c r="H37" i="54"/>
  <c r="C25" i="54"/>
  <c r="H27" i="36"/>
  <c r="H19" i="36"/>
  <c r="F8" i="54"/>
  <c r="I15" i="54"/>
  <c r="J14" i="54"/>
  <c r="C41" i="54"/>
  <c r="H29" i="41"/>
  <c r="K4" i="54"/>
  <c r="F12" i="36"/>
  <c r="H26" i="54"/>
  <c r="H31" i="54"/>
  <c r="I12" i="54"/>
  <c r="G14" i="54"/>
  <c r="H6" i="41"/>
  <c r="C35" i="54"/>
  <c r="H4" i="36"/>
  <c r="I4" i="54"/>
  <c r="C14" i="41"/>
  <c r="H7" i="36"/>
  <c r="I6" i="36"/>
  <c r="H20" i="41"/>
  <c r="C26" i="36"/>
  <c r="C27" i="54"/>
  <c r="H21" i="54"/>
  <c r="N16" i="57" l="1"/>
  <c r="N4" i="57"/>
  <c r="R5" i="57"/>
  <c r="N12" i="57"/>
  <c r="N8" i="57"/>
  <c r="O12" i="39"/>
  <c r="N4" i="39"/>
  <c r="R13" i="39"/>
  <c r="N12" i="39"/>
  <c r="I5" i="54"/>
  <c r="J7" i="54"/>
  <c r="J15" i="54"/>
  <c r="J5" i="36"/>
  <c r="I7" i="36"/>
  <c r="I9" i="36"/>
  <c r="K7" i="54"/>
  <c r="I9" i="54"/>
  <c r="F13" i="54"/>
  <c r="K9" i="54"/>
  <c r="J11" i="36"/>
  <c r="F15" i="54"/>
  <c r="J11" i="54"/>
  <c r="F11" i="36"/>
  <c r="F7" i="36"/>
  <c r="F11" i="54"/>
  <c r="G5" i="41"/>
  <c r="J5" i="54"/>
  <c r="I5" i="36"/>
  <c r="G5" i="54"/>
  <c r="J9" i="54"/>
  <c r="G11" i="54"/>
  <c r="F9" i="41"/>
  <c r="G13" i="54"/>
  <c r="J9" i="36"/>
  <c r="G9" i="54"/>
  <c r="H5" i="41"/>
  <c r="G9" i="36"/>
  <c r="F9" i="54"/>
  <c r="F13" i="36"/>
  <c r="H5" i="54"/>
  <c r="H7" i="41"/>
  <c r="H13" i="54"/>
  <c r="H11" i="54"/>
  <c r="G15" i="54"/>
  <c r="F7" i="41"/>
  <c r="F7" i="54"/>
  <c r="H15" i="54"/>
  <c r="K11" i="54"/>
  <c r="J7" i="36"/>
  <c r="H5" i="36"/>
  <c r="I13" i="54"/>
  <c r="H7" i="54"/>
  <c r="I13" i="36"/>
  <c r="G5" i="36"/>
  <c r="F9" i="36"/>
  <c r="H11" i="36"/>
  <c r="I7" i="54"/>
  <c r="K5" i="54"/>
  <c r="H13" i="36"/>
  <c r="L5" i="36" l="1"/>
  <c r="K4" i="36"/>
  <c r="K6" i="36"/>
  <c r="L7" i="36"/>
  <c r="L8" i="54"/>
  <c r="M9" i="54"/>
  <c r="I8" i="41"/>
  <c r="J9" i="41"/>
  <c r="K8" i="36"/>
  <c r="L9" i="36"/>
  <c r="L10" i="54"/>
  <c r="M11" i="54"/>
  <c r="L14" i="54"/>
  <c r="M15" i="54"/>
  <c r="L13" i="36"/>
  <c r="K12" i="36"/>
  <c r="M13" i="54"/>
  <c r="L12" i="54"/>
  <c r="J5" i="41"/>
  <c r="I6" i="41"/>
  <c r="J7" i="41"/>
  <c r="I4" i="41"/>
  <c r="L6" i="54"/>
  <c r="M7" i="54"/>
  <c r="K10" i="36"/>
  <c r="L11" i="36"/>
  <c r="L4" i="54"/>
  <c r="M5" i="54"/>
  <c r="E3" i="44"/>
  <c r="C3" i="44"/>
  <c r="C8" i="44"/>
  <c r="C30" i="55"/>
  <c r="H4" i="48"/>
  <c r="C27" i="56"/>
  <c r="C21" i="48"/>
  <c r="C37" i="55"/>
  <c r="F10" i="56"/>
  <c r="H35" i="48"/>
  <c r="J4" i="56"/>
  <c r="I8" i="55"/>
  <c r="H30" i="55"/>
  <c r="H40" i="48"/>
  <c r="C40" i="55"/>
  <c r="C35" i="56"/>
  <c r="J6" i="48"/>
  <c r="K8" i="55"/>
  <c r="H12" i="56"/>
  <c r="K6" i="48"/>
  <c r="G12" i="55"/>
  <c r="C22" i="56"/>
  <c r="H23" i="56"/>
  <c r="H34" i="56"/>
  <c r="H41" i="55"/>
  <c r="H20" i="55"/>
  <c r="K10" i="48"/>
  <c r="I8" i="56"/>
  <c r="C42" i="55"/>
  <c r="H25" i="55"/>
  <c r="I14" i="55"/>
  <c r="J6" i="56"/>
  <c r="C31" i="48"/>
  <c r="C20" i="55"/>
  <c r="H6" i="48"/>
  <c r="C35" i="55"/>
  <c r="H26" i="56"/>
  <c r="J14" i="55"/>
  <c r="G10" i="56"/>
  <c r="H18" i="56"/>
  <c r="H32" i="55"/>
  <c r="C41" i="55"/>
  <c r="I12" i="56"/>
  <c r="C26" i="55"/>
  <c r="C35" i="48"/>
  <c r="H40" i="55"/>
  <c r="F8" i="56"/>
  <c r="K4" i="48"/>
  <c r="C20" i="48"/>
  <c r="H10" i="48"/>
  <c r="I6" i="56"/>
  <c r="F8" i="55"/>
  <c r="H37" i="55"/>
  <c r="J4" i="55"/>
  <c r="F8" i="48"/>
  <c r="J8" i="48"/>
  <c r="C31" i="56"/>
  <c r="G4" i="48"/>
  <c r="C22" i="55"/>
  <c r="C18" i="56"/>
  <c r="C25" i="55"/>
  <c r="H30" i="56"/>
  <c r="C30" i="48"/>
  <c r="H27" i="48"/>
  <c r="F12" i="48"/>
  <c r="J4" i="48"/>
  <c r="H22" i="56"/>
  <c r="C42" i="48"/>
  <c r="C19" i="56"/>
  <c r="C37" i="48"/>
  <c r="H22" i="48"/>
  <c r="G8" i="48"/>
  <c r="F6" i="56"/>
  <c r="I12" i="55"/>
  <c r="G12" i="48"/>
  <c r="G14" i="55"/>
  <c r="C30" i="56"/>
  <c r="C27" i="48"/>
  <c r="K6" i="55"/>
  <c r="C21" i="55"/>
  <c r="H27" i="56"/>
  <c r="C23" i="56"/>
  <c r="H31" i="56"/>
  <c r="F6" i="55"/>
  <c r="H41" i="48"/>
  <c r="C26" i="48"/>
  <c r="H26" i="55"/>
  <c r="H27" i="55"/>
  <c r="H14" i="55"/>
  <c r="G14" i="48"/>
  <c r="C26" i="56"/>
  <c r="H12" i="48"/>
  <c r="J8" i="56"/>
  <c r="H10" i="56"/>
  <c r="H10" i="55"/>
  <c r="H20" i="48"/>
  <c r="H42" i="55"/>
  <c r="C41" i="48"/>
  <c r="J14" i="48"/>
  <c r="I12" i="48"/>
  <c r="H6" i="55"/>
  <c r="I8" i="48"/>
  <c r="F14" i="48"/>
  <c r="H30" i="48"/>
  <c r="H35" i="56"/>
  <c r="H42" i="48"/>
  <c r="H19" i="56"/>
  <c r="F12" i="56"/>
  <c r="H31" i="55"/>
  <c r="F12" i="55"/>
  <c r="K12" i="55"/>
  <c r="H26" i="48"/>
  <c r="J10" i="55"/>
  <c r="C34" i="56"/>
  <c r="H21" i="48"/>
  <c r="C40" i="48"/>
  <c r="J10" i="48"/>
  <c r="I6" i="48"/>
  <c r="C36" i="48"/>
  <c r="I4" i="55"/>
  <c r="H35" i="55"/>
  <c r="C36" i="55"/>
  <c r="G8" i="56"/>
  <c r="H36" i="55"/>
  <c r="C32" i="55"/>
  <c r="H25" i="48"/>
  <c r="J8" i="55"/>
  <c r="H21" i="55"/>
  <c r="F10" i="48"/>
  <c r="I4" i="48"/>
  <c r="C32" i="48"/>
  <c r="K12" i="48"/>
  <c r="H4" i="56"/>
  <c r="H14" i="48"/>
  <c r="I4" i="56"/>
  <c r="I14" i="48"/>
  <c r="F14" i="55"/>
  <c r="H32" i="48"/>
  <c r="K4" i="55"/>
  <c r="H12" i="55"/>
  <c r="C25" i="48"/>
  <c r="C27" i="55"/>
  <c r="J6" i="55"/>
  <c r="F6" i="48"/>
  <c r="C31" i="55"/>
  <c r="I6" i="55"/>
  <c r="G12" i="56"/>
  <c r="K10" i="55"/>
  <c r="H4" i="55"/>
  <c r="C22" i="48"/>
  <c r="H31" i="48"/>
  <c r="H6" i="56"/>
  <c r="G4" i="56"/>
  <c r="J10" i="56"/>
  <c r="G8" i="55"/>
  <c r="F10" i="55"/>
  <c r="K8" i="48"/>
  <c r="G10" i="48"/>
  <c r="H36" i="48"/>
  <c r="G4" i="55"/>
  <c r="H22" i="55"/>
  <c r="H37" i="48"/>
  <c r="G10" i="55"/>
  <c r="E5" i="44" l="1"/>
  <c r="C5" i="44"/>
  <c r="E6" i="44"/>
  <c r="C6" i="44"/>
  <c r="E7" i="44"/>
  <c r="C7" i="44"/>
  <c r="F12" i="47"/>
  <c r="G9" i="56"/>
  <c r="H22" i="47"/>
  <c r="J9" i="48"/>
  <c r="H34" i="47"/>
  <c r="C20" i="43"/>
  <c r="F9" i="56"/>
  <c r="H14" i="43"/>
  <c r="C26" i="47"/>
  <c r="G11" i="48"/>
  <c r="I7" i="55"/>
  <c r="J7" i="55"/>
  <c r="H4" i="43"/>
  <c r="C22" i="47"/>
  <c r="I6" i="47"/>
  <c r="G9" i="55"/>
  <c r="C30" i="47"/>
  <c r="H6" i="43"/>
  <c r="J7" i="56"/>
  <c r="H4" i="47"/>
  <c r="I7" i="56"/>
  <c r="I9" i="56"/>
  <c r="F7" i="56"/>
  <c r="G5" i="56"/>
  <c r="F11" i="48"/>
  <c r="H15" i="48"/>
  <c r="J5" i="56"/>
  <c r="K9" i="55"/>
  <c r="F7" i="55"/>
  <c r="K11" i="48"/>
  <c r="J9" i="55"/>
  <c r="G13" i="48"/>
  <c r="F15" i="55"/>
  <c r="J11" i="56"/>
  <c r="F13" i="48"/>
  <c r="F9" i="48"/>
  <c r="H13" i="55"/>
  <c r="I5" i="55"/>
  <c r="K11" i="55"/>
  <c r="G10" i="47"/>
  <c r="H5" i="48"/>
  <c r="G8" i="47"/>
  <c r="I5" i="48"/>
  <c r="K13" i="48"/>
  <c r="I7" i="48"/>
  <c r="G9" i="48"/>
  <c r="G4" i="43"/>
  <c r="G5" i="48"/>
  <c r="I12" i="47"/>
  <c r="F6" i="43"/>
  <c r="I9" i="55"/>
  <c r="J11" i="48"/>
  <c r="F11" i="55"/>
  <c r="F6" i="47"/>
  <c r="H12" i="47"/>
  <c r="F15" i="48"/>
  <c r="C18" i="47"/>
  <c r="C29" i="43"/>
  <c r="G11" i="56"/>
  <c r="H26" i="47"/>
  <c r="C31" i="47"/>
  <c r="H11" i="55"/>
  <c r="H7" i="56"/>
  <c r="H7" i="55"/>
  <c r="H13" i="48"/>
  <c r="C17" i="43"/>
  <c r="C34" i="47"/>
  <c r="C26" i="43"/>
  <c r="H30" i="47"/>
  <c r="K13" i="55"/>
  <c r="I13" i="48"/>
  <c r="G12" i="47"/>
  <c r="G15" i="55"/>
  <c r="H35" i="47"/>
  <c r="J15" i="55"/>
  <c r="H10" i="47"/>
  <c r="J10" i="47"/>
  <c r="G4" i="47"/>
  <c r="I13" i="55"/>
  <c r="G11" i="55"/>
  <c r="G8" i="43"/>
  <c r="F8" i="43"/>
  <c r="H18" i="47"/>
  <c r="H5" i="56"/>
  <c r="G13" i="56"/>
  <c r="I5" i="56"/>
  <c r="C23" i="47"/>
  <c r="J8" i="47"/>
  <c r="H31" i="47"/>
  <c r="C19" i="47"/>
  <c r="F13" i="55"/>
  <c r="J7" i="48"/>
  <c r="I13" i="56"/>
  <c r="C23" i="43"/>
  <c r="F7" i="48"/>
  <c r="G15" i="48"/>
  <c r="H15" i="55"/>
  <c r="K7" i="55"/>
  <c r="I8" i="47"/>
  <c r="H17" i="43"/>
  <c r="J9" i="56"/>
  <c r="J5" i="48"/>
  <c r="F8" i="47"/>
  <c r="F9" i="55"/>
  <c r="G5" i="55"/>
  <c r="J6" i="47"/>
  <c r="H5" i="55"/>
  <c r="K5" i="55"/>
  <c r="I15" i="55"/>
  <c r="H11" i="56"/>
  <c r="C27" i="47"/>
  <c r="H13" i="56"/>
  <c r="J11" i="55"/>
  <c r="H23" i="43"/>
  <c r="H7" i="48"/>
  <c r="F13" i="56"/>
  <c r="I9" i="48"/>
  <c r="H11" i="48"/>
  <c r="J5" i="55"/>
  <c r="G13" i="55"/>
  <c r="J4" i="47"/>
  <c r="H23" i="47"/>
  <c r="C14" i="43"/>
  <c r="I4" i="47"/>
  <c r="H19" i="47"/>
  <c r="H27" i="47"/>
  <c r="H20" i="43"/>
  <c r="K5" i="48"/>
  <c r="I15" i="48"/>
  <c r="H26" i="43"/>
  <c r="C35" i="47"/>
  <c r="K9" i="48"/>
  <c r="H29" i="43"/>
  <c r="F10" i="47"/>
  <c r="K7" i="48"/>
  <c r="J15" i="48"/>
  <c r="H6" i="47"/>
  <c r="F11" i="56"/>
  <c r="L8" i="48" l="1"/>
  <c r="M9" i="48"/>
  <c r="L6" i="48"/>
  <c r="M7" i="48"/>
  <c r="K6" i="56"/>
  <c r="L7" i="56"/>
  <c r="L14" i="48"/>
  <c r="M15" i="48"/>
  <c r="M11" i="48"/>
  <c r="L10" i="48"/>
  <c r="L4" i="55"/>
  <c r="M5" i="55"/>
  <c r="L8" i="55"/>
  <c r="M9" i="55"/>
  <c r="L10" i="55"/>
  <c r="M11" i="55"/>
  <c r="M7" i="55"/>
  <c r="L6" i="55"/>
  <c r="L4" i="48"/>
  <c r="M5" i="48"/>
  <c r="L11" i="56"/>
  <c r="K10" i="56"/>
  <c r="L13" i="56"/>
  <c r="K12" i="56"/>
  <c r="L9" i="56"/>
  <c r="K8" i="56"/>
  <c r="L14" i="55"/>
  <c r="M15" i="55"/>
  <c r="L5" i="56"/>
  <c r="K4" i="56"/>
  <c r="M13" i="48"/>
  <c r="L12" i="48"/>
  <c r="L12" i="55"/>
  <c r="M13" i="55"/>
  <c r="I25" i="4"/>
  <c r="J25" i="4"/>
  <c r="I26" i="4"/>
  <c r="S4" i="4" s="1"/>
  <c r="J26" i="4"/>
  <c r="I27" i="4"/>
  <c r="J27" i="4"/>
  <c r="I28" i="4"/>
  <c r="J28" i="4"/>
  <c r="I30" i="4"/>
  <c r="J30" i="4"/>
  <c r="I31" i="4"/>
  <c r="J31" i="4"/>
  <c r="I32" i="4"/>
  <c r="J32" i="4"/>
  <c r="I33" i="4"/>
  <c r="J33" i="4"/>
  <c r="I34" i="4"/>
  <c r="J34" i="4"/>
  <c r="I36" i="4"/>
  <c r="J36" i="4"/>
  <c r="I37" i="4"/>
  <c r="J37" i="4"/>
  <c r="I38" i="4"/>
  <c r="J38" i="4"/>
  <c r="I39" i="4"/>
  <c r="J39" i="4"/>
  <c r="I40" i="4"/>
  <c r="J40" i="4"/>
  <c r="I42" i="4"/>
  <c r="J42" i="4"/>
  <c r="I43" i="4"/>
  <c r="J43" i="4"/>
  <c r="I44" i="4"/>
  <c r="J44" i="4"/>
  <c r="I45" i="4"/>
  <c r="J45" i="4"/>
  <c r="I46" i="4"/>
  <c r="J46" i="4"/>
  <c r="I48" i="4"/>
  <c r="J48" i="4"/>
  <c r="I49" i="4"/>
  <c r="J49" i="4"/>
  <c r="I50" i="4"/>
  <c r="J50" i="4"/>
  <c r="I51" i="4"/>
  <c r="J51" i="4"/>
  <c r="I52" i="4"/>
  <c r="J52" i="4"/>
  <c r="I54" i="4"/>
  <c r="J54" i="4"/>
  <c r="I55" i="4"/>
  <c r="J55" i="4"/>
  <c r="I56" i="4"/>
  <c r="J56" i="4"/>
  <c r="I57" i="4"/>
  <c r="J57" i="4"/>
  <c r="I58" i="4"/>
  <c r="J58" i="4"/>
  <c r="I60" i="4"/>
  <c r="J60" i="4"/>
  <c r="I61" i="4"/>
  <c r="J61" i="4"/>
  <c r="I62" i="4"/>
  <c r="J62" i="4"/>
  <c r="I63" i="4"/>
  <c r="J63" i="4"/>
  <c r="J24" i="4"/>
  <c r="I24" i="4"/>
  <c r="A8" i="4"/>
  <c r="B8" i="4"/>
  <c r="C8" i="4"/>
  <c r="D8" i="4"/>
  <c r="E8" i="4"/>
  <c r="F8" i="4"/>
  <c r="G8" i="4"/>
  <c r="H8" i="4"/>
  <c r="H1" i="4"/>
  <c r="H2" i="4"/>
  <c r="H3" i="4"/>
  <c r="AB3" i="4" s="1"/>
  <c r="H4" i="4"/>
  <c r="H5" i="4"/>
  <c r="H6" i="4"/>
  <c r="H7" i="4"/>
  <c r="A7" i="4"/>
  <c r="B7" i="4"/>
  <c r="C7" i="4"/>
  <c r="D7" i="4"/>
  <c r="E7" i="4"/>
  <c r="F7" i="4"/>
  <c r="G7" i="4"/>
  <c r="AA7" i="4" s="1"/>
  <c r="F2" i="4"/>
  <c r="G2" i="4"/>
  <c r="F3" i="4"/>
  <c r="G3" i="4"/>
  <c r="F4" i="4"/>
  <c r="G4" i="4"/>
  <c r="F5" i="4"/>
  <c r="G5" i="4"/>
  <c r="F6" i="4"/>
  <c r="G6" i="4"/>
  <c r="G1" i="4"/>
  <c r="A6" i="4"/>
  <c r="B6" i="4"/>
  <c r="C6" i="4"/>
  <c r="D6" i="4"/>
  <c r="E6" i="4"/>
  <c r="F1" i="4"/>
  <c r="A5" i="4"/>
  <c r="B5" i="4"/>
  <c r="C5" i="4"/>
  <c r="D5" i="4"/>
  <c r="E5" i="4"/>
  <c r="E1" i="4"/>
  <c r="E2" i="4"/>
  <c r="E3" i="4"/>
  <c r="E4" i="4"/>
  <c r="A4" i="4"/>
  <c r="B4" i="4"/>
  <c r="C4" i="4"/>
  <c r="D4" i="4"/>
  <c r="D1" i="4"/>
  <c r="D2" i="4"/>
  <c r="D3" i="4"/>
  <c r="A2" i="4"/>
  <c r="B2" i="4"/>
  <c r="C2" i="4"/>
  <c r="A3" i="4"/>
  <c r="B3" i="4"/>
  <c r="C3" i="4"/>
  <c r="C1" i="4"/>
  <c r="A1" i="4"/>
  <c r="B1" i="4"/>
  <c r="P6" i="4"/>
  <c r="G5" i="43"/>
  <c r="I7" i="47"/>
  <c r="J9" i="47"/>
  <c r="H11" i="47"/>
  <c r="F9" i="43"/>
  <c r="F13" i="47"/>
  <c r="I13" i="47"/>
  <c r="I9" i="47"/>
  <c r="G5" i="47"/>
  <c r="J11" i="47"/>
  <c r="G9" i="47"/>
  <c r="G11" i="47"/>
  <c r="F7" i="43"/>
  <c r="H7" i="43"/>
  <c r="H7" i="47"/>
  <c r="J7" i="47"/>
  <c r="H5" i="47"/>
  <c r="F9" i="47"/>
  <c r="G13" i="47"/>
  <c r="J5" i="47"/>
  <c r="I5" i="47"/>
  <c r="F7" i="47"/>
  <c r="F11" i="47"/>
  <c r="G9" i="43"/>
  <c r="H5" i="43"/>
  <c r="H13" i="47"/>
  <c r="N6" i="4" l="1"/>
  <c r="I8" i="43"/>
  <c r="J9" i="43"/>
  <c r="I4" i="43"/>
  <c r="J5" i="43"/>
  <c r="L9" i="47"/>
  <c r="K8" i="47"/>
  <c r="K10" i="47"/>
  <c r="L11" i="47"/>
  <c r="L13" i="47"/>
  <c r="K12" i="47"/>
  <c r="J7" i="43"/>
  <c r="I6" i="43"/>
  <c r="L7" i="47"/>
  <c r="K6" i="47"/>
  <c r="L5" i="47"/>
  <c r="K4" i="47"/>
  <c r="AA3" i="4"/>
  <c r="W2" i="4"/>
  <c r="AA6" i="4"/>
  <c r="Z2" i="4"/>
  <c r="W1" i="4"/>
  <c r="Y2" i="4"/>
  <c r="U4" i="4"/>
  <c r="X2" i="4"/>
  <c r="V4" i="4"/>
  <c r="W8" i="4"/>
  <c r="U3" i="4"/>
  <c r="AB2" i="4"/>
  <c r="AA1" i="4"/>
  <c r="W3" i="4"/>
  <c r="W7" i="4"/>
  <c r="U6" i="4"/>
  <c r="X1" i="4"/>
  <c r="Z7" i="4"/>
  <c r="V6" i="4"/>
  <c r="X3" i="4"/>
  <c r="X6" i="4"/>
  <c r="Z5" i="4"/>
  <c r="Y6" i="4"/>
  <c r="AB8" i="4"/>
  <c r="U8" i="4"/>
  <c r="X4" i="4"/>
  <c r="AB7" i="4"/>
  <c r="V5" i="4"/>
  <c r="AA8" i="4"/>
  <c r="U2" i="4"/>
  <c r="V7" i="4"/>
  <c r="Z8" i="4"/>
  <c r="L8" i="4"/>
  <c r="M2" i="4"/>
  <c r="R7" i="4"/>
  <c r="O6" i="4"/>
  <c r="M3" i="4"/>
  <c r="O7" i="4"/>
  <c r="Y1" i="4"/>
  <c r="AB6" i="4"/>
  <c r="W5" i="4"/>
  <c r="U1" i="4"/>
  <c r="V8" i="4"/>
  <c r="S8" i="4"/>
  <c r="L6" i="4"/>
  <c r="M5" i="4"/>
  <c r="O4" i="4"/>
  <c r="X7" i="4"/>
  <c r="S1" i="4"/>
  <c r="N8" i="4"/>
  <c r="Z1" i="4"/>
  <c r="M7" i="4"/>
  <c r="P2" i="4"/>
  <c r="M6" i="4"/>
  <c r="P3" i="4"/>
  <c r="Y8" i="4"/>
  <c r="P4" i="4"/>
  <c r="R4" i="4"/>
  <c r="AA4" i="4"/>
  <c r="R2" i="4"/>
  <c r="AA2" i="4"/>
  <c r="Y7" i="4"/>
  <c r="P7" i="4"/>
  <c r="U7" i="4"/>
  <c r="L7" i="4"/>
  <c r="V1" i="4"/>
  <c r="M1" i="4"/>
  <c r="Q4" i="4"/>
  <c r="AB5" i="4"/>
  <c r="S5" i="4"/>
  <c r="P8" i="4"/>
  <c r="O1" i="4"/>
  <c r="R1" i="4"/>
  <c r="N7" i="4"/>
  <c r="R6" i="4"/>
  <c r="Q8" i="4"/>
  <c r="R3" i="4"/>
  <c r="Q5" i="4"/>
  <c r="S7" i="4"/>
  <c r="L2" i="4"/>
  <c r="N2" i="4"/>
  <c r="Q2" i="4"/>
  <c r="N1" i="4"/>
  <c r="L4" i="4"/>
  <c r="O2" i="4"/>
  <c r="N5" i="4"/>
  <c r="P1" i="4"/>
  <c r="L1" i="4"/>
  <c r="S6" i="4"/>
  <c r="O3" i="4"/>
  <c r="M4" i="4"/>
  <c r="M8" i="4"/>
  <c r="P5" i="4"/>
  <c r="S2" i="4"/>
  <c r="AB1" i="4"/>
  <c r="V3" i="4"/>
  <c r="V2" i="4"/>
  <c r="Z4" i="4"/>
  <c r="Y4" i="4"/>
  <c r="Y5" i="4"/>
  <c r="U5" i="4"/>
  <c r="L5" i="4"/>
  <c r="W6" i="4"/>
  <c r="AA5" i="4"/>
  <c r="R5" i="4"/>
  <c r="R8" i="4"/>
  <c r="AB4" i="4"/>
  <c r="X8" i="4"/>
  <c r="O8" i="4"/>
  <c r="Z6" i="4"/>
  <c r="S3" i="4"/>
  <c r="L3" i="4"/>
  <c r="N3" i="4"/>
  <c r="Q6" i="4"/>
  <c r="W4" i="4"/>
  <c r="N4" i="4"/>
  <c r="Y3" i="4"/>
  <c r="O5" i="4"/>
  <c r="X5" i="4"/>
  <c r="Q1" i="4"/>
  <c r="Z3" i="4"/>
  <c r="Q3" i="4"/>
  <c r="Q7" i="4"/>
  <c r="G16" i="50"/>
  <c r="N23" i="4"/>
  <c r="H27" i="49"/>
  <c r="I12" i="46"/>
  <c r="X15" i="4"/>
  <c r="L16" i="4"/>
  <c r="P18" i="4"/>
  <c r="AB25" i="4"/>
  <c r="C42" i="38"/>
  <c r="I4" i="50"/>
  <c r="O18" i="4"/>
  <c r="C42" i="49"/>
  <c r="C32" i="53"/>
  <c r="C22" i="45"/>
  <c r="N16" i="4"/>
  <c r="V14" i="4"/>
  <c r="C48" i="49"/>
  <c r="C22" i="49"/>
  <c r="L13" i="4"/>
  <c r="H10" i="49"/>
  <c r="L24" i="4"/>
  <c r="AB15" i="4"/>
  <c r="O16" i="4"/>
  <c r="U21" i="4"/>
  <c r="W23" i="4"/>
  <c r="F6" i="53"/>
  <c r="H4" i="42"/>
  <c r="H37" i="40"/>
  <c r="H39" i="50"/>
  <c r="G10" i="52"/>
  <c r="U26" i="4"/>
  <c r="C23" i="52"/>
  <c r="C32" i="45"/>
  <c r="H14" i="50"/>
  <c r="C41" i="45"/>
  <c r="C31" i="38"/>
  <c r="C32" i="37"/>
  <c r="C40" i="38"/>
  <c r="K6" i="49"/>
  <c r="S13" i="4"/>
  <c r="U14" i="4"/>
  <c r="S18" i="4"/>
  <c r="C25" i="45"/>
  <c r="H23" i="50"/>
  <c r="J10" i="45"/>
  <c r="H14" i="45"/>
  <c r="C30" i="34"/>
  <c r="I12" i="53"/>
  <c r="L10" i="50"/>
  <c r="M26" i="4"/>
  <c r="H30" i="42"/>
  <c r="H14" i="46"/>
  <c r="C31" i="35"/>
  <c r="C33" i="49"/>
  <c r="J8" i="49"/>
  <c r="H37" i="38"/>
  <c r="H6" i="40"/>
  <c r="X20" i="4"/>
  <c r="H12" i="34"/>
  <c r="Q15" i="4"/>
  <c r="C27" i="53"/>
  <c r="O23" i="4"/>
  <c r="K12" i="37"/>
  <c r="K4" i="45"/>
  <c r="R14" i="4"/>
  <c r="H30" i="34"/>
  <c r="H19" i="52"/>
  <c r="C23" i="42"/>
  <c r="H41" i="45"/>
  <c r="M20" i="4"/>
  <c r="C23" i="34"/>
  <c r="G12" i="34"/>
  <c r="H43" i="49"/>
  <c r="U24" i="4"/>
  <c r="H24" i="49"/>
  <c r="H29" i="50"/>
  <c r="O21" i="4"/>
  <c r="C42" i="46"/>
  <c r="Y25" i="4"/>
  <c r="S26" i="4"/>
  <c r="F7" i="53"/>
  <c r="H52" i="49"/>
  <c r="H31" i="38"/>
  <c r="C26" i="35"/>
  <c r="C49" i="50"/>
  <c r="H22" i="35"/>
  <c r="N19" i="4"/>
  <c r="X21" i="4"/>
  <c r="C36" i="37"/>
  <c r="AB20" i="4"/>
  <c r="F8" i="37"/>
  <c r="G12" i="46"/>
  <c r="I8" i="34"/>
  <c r="C31" i="53"/>
  <c r="AA19" i="4"/>
  <c r="H18" i="52"/>
  <c r="H10" i="40"/>
  <c r="Q25" i="4"/>
  <c r="AA24" i="4"/>
  <c r="H31" i="52"/>
  <c r="U19" i="4"/>
  <c r="Q19" i="4"/>
  <c r="H34" i="34"/>
  <c r="C31" i="45"/>
  <c r="C32" i="50"/>
  <c r="H16" i="49"/>
  <c r="N12" i="4"/>
  <c r="F12" i="53"/>
  <c r="C22" i="37"/>
  <c r="I6" i="34"/>
  <c r="C27" i="42"/>
  <c r="C38" i="50"/>
  <c r="H22" i="45"/>
  <c r="G14" i="45"/>
  <c r="H27" i="50"/>
  <c r="N15" i="4"/>
  <c r="K4" i="37"/>
  <c r="L12" i="49"/>
  <c r="H52" i="50"/>
  <c r="J6" i="46"/>
  <c r="M18" i="4"/>
  <c r="H41" i="37"/>
  <c r="C19" i="34"/>
  <c r="U25" i="4"/>
  <c r="N25" i="4"/>
  <c r="G14" i="50"/>
  <c r="K6" i="53"/>
  <c r="H30" i="46"/>
  <c r="O25" i="4"/>
  <c r="C41" i="53"/>
  <c r="Y19" i="4"/>
  <c r="K4" i="53"/>
  <c r="H4" i="35"/>
  <c r="K8" i="37"/>
  <c r="H12" i="46"/>
  <c r="K6" i="46"/>
  <c r="AA20" i="4"/>
  <c r="Y24" i="4"/>
  <c r="Q24" i="4"/>
  <c r="J10" i="42"/>
  <c r="G10" i="40"/>
  <c r="H32" i="45"/>
  <c r="H12" i="40"/>
  <c r="S15" i="4"/>
  <c r="H6" i="53"/>
  <c r="H19" i="34"/>
  <c r="J8" i="50"/>
  <c r="C30" i="40"/>
  <c r="C53" i="49"/>
  <c r="K8" i="53"/>
  <c r="C19" i="52"/>
  <c r="I4" i="42"/>
  <c r="C37" i="46"/>
  <c r="K4" i="38"/>
  <c r="G8" i="40"/>
  <c r="F16" i="49"/>
  <c r="L25" i="4"/>
  <c r="C29" i="50"/>
  <c r="P17" i="4"/>
  <c r="J10" i="53"/>
  <c r="I12" i="37"/>
  <c r="S14" i="4"/>
  <c r="R16" i="4"/>
  <c r="C36" i="45"/>
  <c r="C21" i="45"/>
  <c r="V25" i="4"/>
  <c r="H6" i="50"/>
  <c r="F14" i="49"/>
  <c r="O17" i="4"/>
  <c r="F8" i="38"/>
  <c r="H42" i="45"/>
  <c r="G14" i="37"/>
  <c r="W15" i="4"/>
  <c r="Q11" i="4"/>
  <c r="M14" i="4"/>
  <c r="F14" i="53"/>
  <c r="F6" i="40"/>
  <c r="K10" i="38"/>
  <c r="AA18" i="4"/>
  <c r="N14" i="4"/>
  <c r="G4" i="34"/>
  <c r="AA11" i="4"/>
  <c r="K6" i="38"/>
  <c r="M25" i="4"/>
  <c r="H10" i="50"/>
  <c r="C52" i="49"/>
  <c r="F6" i="52"/>
  <c r="W12" i="4"/>
  <c r="X16" i="4"/>
  <c r="F10" i="35"/>
  <c r="F6" i="38"/>
  <c r="F7" i="38" s="1"/>
  <c r="J8" i="52"/>
  <c r="H21" i="46"/>
  <c r="C30" i="37"/>
  <c r="Z20" i="4"/>
  <c r="J6" i="37"/>
  <c r="F10" i="37"/>
  <c r="H33" i="50"/>
  <c r="P23" i="4"/>
  <c r="V15" i="4"/>
  <c r="H22" i="46"/>
  <c r="H54" i="49"/>
  <c r="I6" i="50"/>
  <c r="C38" i="49"/>
  <c r="N20" i="4"/>
  <c r="H27" i="46"/>
  <c r="X11" i="4"/>
  <c r="H22" i="42"/>
  <c r="C23" i="50"/>
  <c r="M17" i="4"/>
  <c r="C42" i="40"/>
  <c r="P11" i="4"/>
  <c r="H26" i="52"/>
  <c r="H35" i="35"/>
  <c r="M13" i="4"/>
  <c r="C18" i="52"/>
  <c r="H34" i="42"/>
  <c r="U15" i="4"/>
  <c r="H26" i="34"/>
  <c r="I6" i="37"/>
  <c r="L8" i="50"/>
  <c r="I4" i="46"/>
  <c r="O20" i="4"/>
  <c r="H32" i="50"/>
  <c r="R21" i="4"/>
  <c r="H36" i="38"/>
  <c r="C27" i="34"/>
  <c r="H6" i="37"/>
  <c r="P21" i="4"/>
  <c r="O22" i="4"/>
  <c r="Z24" i="4"/>
  <c r="H23" i="34"/>
  <c r="P25" i="4"/>
  <c r="K8" i="40"/>
  <c r="O13" i="4"/>
  <c r="H42" i="53"/>
  <c r="C52" i="50"/>
  <c r="C25" i="53"/>
  <c r="H12" i="49"/>
  <c r="AA13" i="4"/>
  <c r="M19" i="4"/>
  <c r="F12" i="46"/>
  <c r="H40" i="45"/>
  <c r="L22" i="4"/>
  <c r="H20" i="45"/>
  <c r="H44" i="50"/>
  <c r="H30" i="53"/>
  <c r="G8" i="46"/>
  <c r="H30" i="38"/>
  <c r="H6" i="42"/>
  <c r="G12" i="53"/>
  <c r="J4" i="40"/>
  <c r="J4" i="45"/>
  <c r="I4" i="35"/>
  <c r="F12" i="34"/>
  <c r="H48" i="50"/>
  <c r="F10" i="34"/>
  <c r="C29" i="49"/>
  <c r="C37" i="53"/>
  <c r="G12" i="38"/>
  <c r="G13" i="38" s="1"/>
  <c r="C30" i="52"/>
  <c r="O26" i="4"/>
  <c r="H31" i="35"/>
  <c r="K4" i="46"/>
  <c r="X19" i="4"/>
  <c r="H34" i="49"/>
  <c r="X17" i="4"/>
  <c r="K8" i="38"/>
  <c r="H21" i="53"/>
  <c r="H37" i="46"/>
  <c r="G14" i="38"/>
  <c r="F10" i="46"/>
  <c r="J14" i="45"/>
  <c r="Q18" i="4"/>
  <c r="G8" i="37"/>
  <c r="C25" i="46"/>
  <c r="C41" i="37"/>
  <c r="X24" i="4"/>
  <c r="L6" i="50"/>
  <c r="C31" i="46"/>
  <c r="L14" i="4"/>
  <c r="U16" i="4"/>
  <c r="J10" i="37"/>
  <c r="C35" i="45"/>
  <c r="L12" i="50"/>
  <c r="C22" i="46"/>
  <c r="H21" i="37"/>
  <c r="C22" i="38"/>
  <c r="G12" i="49"/>
  <c r="M21" i="4"/>
  <c r="AA22" i="4"/>
  <c r="L14" i="49"/>
  <c r="G4" i="35"/>
  <c r="H4" i="38"/>
  <c r="I16" i="50"/>
  <c r="H10" i="53"/>
  <c r="H35" i="53"/>
  <c r="J8" i="42"/>
  <c r="AA26" i="4"/>
  <c r="C37" i="50"/>
  <c r="I6" i="53"/>
  <c r="C26" i="53"/>
  <c r="F7" i="40"/>
  <c r="H6" i="52"/>
  <c r="J5" i="40"/>
  <c r="G13" i="49"/>
  <c r="Z15" i="4"/>
  <c r="Z16" i="4"/>
  <c r="H31" i="45"/>
  <c r="C24" i="49"/>
  <c r="C36" i="40"/>
  <c r="S20" i="4"/>
  <c r="G12" i="52"/>
  <c r="I12" i="40"/>
  <c r="K16" i="50"/>
  <c r="H35" i="46"/>
  <c r="I8" i="53"/>
  <c r="K12" i="49"/>
  <c r="C21" i="53"/>
  <c r="K12" i="46"/>
  <c r="Z26" i="4"/>
  <c r="V26" i="4"/>
  <c r="G17" i="50"/>
  <c r="C27" i="40"/>
  <c r="I12" i="42"/>
  <c r="H12" i="35"/>
  <c r="F10" i="53"/>
  <c r="C30" i="38"/>
  <c r="C42" i="53"/>
  <c r="C31" i="34"/>
  <c r="C21" i="38"/>
  <c r="C26" i="52"/>
  <c r="F10" i="38"/>
  <c r="Z12" i="4"/>
  <c r="H14" i="40"/>
  <c r="W26" i="4"/>
  <c r="H41" i="53"/>
  <c r="Q12" i="4"/>
  <c r="H6" i="46"/>
  <c r="N13" i="4"/>
  <c r="Q22" i="4"/>
  <c r="AB26" i="4"/>
  <c r="C37" i="38"/>
  <c r="H19" i="42"/>
  <c r="H12" i="37"/>
  <c r="H36" i="53"/>
  <c r="S22" i="4"/>
  <c r="J4" i="37"/>
  <c r="H23" i="49"/>
  <c r="C32" i="38"/>
  <c r="H6" i="49"/>
  <c r="H31" i="40"/>
  <c r="C53" i="50"/>
  <c r="G8" i="42"/>
  <c r="H22" i="37"/>
  <c r="O19" i="4"/>
  <c r="AA25" i="4"/>
  <c r="J8" i="35"/>
  <c r="C23" i="35"/>
  <c r="J10" i="40"/>
  <c r="Z14" i="4"/>
  <c r="U11" i="4"/>
  <c r="J6" i="35"/>
  <c r="H33" i="49"/>
  <c r="AB12" i="4"/>
  <c r="H26" i="40"/>
  <c r="H25" i="45"/>
  <c r="C20" i="38"/>
  <c r="H20" i="46"/>
  <c r="C40" i="53"/>
  <c r="G8" i="53"/>
  <c r="C28" i="50"/>
  <c r="H6" i="45"/>
  <c r="H7" i="45" s="1"/>
  <c r="G4" i="45"/>
  <c r="C28" i="49"/>
  <c r="N11" i="4"/>
  <c r="L18" i="4"/>
  <c r="AB14" i="4"/>
  <c r="H35" i="45"/>
  <c r="I8" i="35"/>
  <c r="W22" i="4"/>
  <c r="H30" i="40"/>
  <c r="F12" i="42"/>
  <c r="F13" i="42" s="1"/>
  <c r="G9" i="40"/>
  <c r="K10" i="53"/>
  <c r="K11" i="53" s="1"/>
  <c r="C18" i="35"/>
  <c r="F6" i="42"/>
  <c r="Q20" i="4"/>
  <c r="H40" i="37"/>
  <c r="H10" i="46"/>
  <c r="H11" i="46" s="1"/>
  <c r="N24" i="4"/>
  <c r="C30" i="35"/>
  <c r="G8" i="38"/>
  <c r="J4" i="38"/>
  <c r="G15" i="38"/>
  <c r="F12" i="50"/>
  <c r="J10" i="49"/>
  <c r="G10" i="34"/>
  <c r="F6" i="35"/>
  <c r="F7" i="35" s="1"/>
  <c r="F12" i="38"/>
  <c r="G8" i="34"/>
  <c r="J14" i="50"/>
  <c r="M11" i="4"/>
  <c r="J8" i="40"/>
  <c r="I8" i="37"/>
  <c r="C20" i="37"/>
  <c r="U20" i="4"/>
  <c r="J4" i="49"/>
  <c r="G12" i="50"/>
  <c r="H54" i="50"/>
  <c r="H27" i="35"/>
  <c r="K12" i="50"/>
  <c r="C37" i="49"/>
  <c r="W21" i="4"/>
  <c r="H38" i="49"/>
  <c r="H42" i="49"/>
  <c r="H4" i="46"/>
  <c r="H4" i="49"/>
  <c r="H14" i="38"/>
  <c r="V17" i="4"/>
  <c r="P20" i="4"/>
  <c r="I7" i="34"/>
  <c r="K4" i="49"/>
  <c r="H27" i="42"/>
  <c r="R20" i="4"/>
  <c r="F15" i="53"/>
  <c r="K11" i="38"/>
  <c r="H35" i="37"/>
  <c r="C30" i="45"/>
  <c r="L15" i="4"/>
  <c r="H35" i="42"/>
  <c r="C26" i="34"/>
  <c r="H22" i="53"/>
  <c r="C25" i="37"/>
  <c r="F10" i="49"/>
  <c r="K8" i="49"/>
  <c r="V12" i="4"/>
  <c r="K6" i="50"/>
  <c r="C27" i="35"/>
  <c r="C31" i="37"/>
  <c r="G8" i="49"/>
  <c r="W25" i="4"/>
  <c r="L20" i="4"/>
  <c r="K10" i="46"/>
  <c r="K11" i="46" s="1"/>
  <c r="C21" i="46"/>
  <c r="C26" i="40"/>
  <c r="I14" i="37"/>
  <c r="H12" i="38"/>
  <c r="H31" i="42"/>
  <c r="H37" i="49"/>
  <c r="G5" i="35"/>
  <c r="C31" i="42"/>
  <c r="H32" i="40"/>
  <c r="I6" i="38"/>
  <c r="H30" i="37"/>
  <c r="H35" i="40"/>
  <c r="I9" i="53"/>
  <c r="G10" i="37"/>
  <c r="H27" i="37"/>
  <c r="C40" i="40"/>
  <c r="G15" i="45"/>
  <c r="AB22" i="4"/>
  <c r="H13" i="35"/>
  <c r="J9" i="42"/>
  <c r="C34" i="52"/>
  <c r="H15" i="46"/>
  <c r="Y23" i="4"/>
  <c r="I13" i="40"/>
  <c r="H11" i="49"/>
  <c r="K10" i="50"/>
  <c r="H31" i="53"/>
  <c r="L4" i="50"/>
  <c r="F15" i="49"/>
  <c r="H42" i="38"/>
  <c r="J6" i="52"/>
  <c r="H43" i="50"/>
  <c r="J16" i="50"/>
  <c r="L7" i="50"/>
  <c r="G4" i="49"/>
  <c r="I12" i="38"/>
  <c r="H36" i="46"/>
  <c r="H41" i="46"/>
  <c r="H36" i="40"/>
  <c r="H19" i="35"/>
  <c r="K4" i="50"/>
  <c r="Z17" i="4"/>
  <c r="Q23" i="4"/>
  <c r="K9" i="53"/>
  <c r="F11" i="35"/>
  <c r="J10" i="34"/>
  <c r="R15" i="4"/>
  <c r="I14" i="49"/>
  <c r="H6" i="34"/>
  <c r="G4" i="40"/>
  <c r="R23" i="4"/>
  <c r="K6" i="40"/>
  <c r="K7" i="40" s="1"/>
  <c r="R24" i="4"/>
  <c r="J6" i="42"/>
  <c r="V21" i="4"/>
  <c r="F14" i="40"/>
  <c r="G10" i="35"/>
  <c r="G11" i="35" s="1"/>
  <c r="J6" i="34"/>
  <c r="J14" i="53"/>
  <c r="J15" i="53" s="1"/>
  <c r="G14" i="46"/>
  <c r="G15" i="46" s="1"/>
  <c r="C36" i="46"/>
  <c r="C33" i="50"/>
  <c r="G8" i="45"/>
  <c r="H31" i="46"/>
  <c r="C27" i="50"/>
  <c r="I13" i="53"/>
  <c r="H26" i="37"/>
  <c r="H26" i="35"/>
  <c r="G12" i="42"/>
  <c r="J4" i="50"/>
  <c r="C35" i="40"/>
  <c r="H42" i="46"/>
  <c r="C48" i="50"/>
  <c r="I8" i="42"/>
  <c r="C22" i="52"/>
  <c r="H23" i="42"/>
  <c r="G10" i="53"/>
  <c r="F14" i="45"/>
  <c r="H10" i="45"/>
  <c r="C32" i="40"/>
  <c r="S11" i="4"/>
  <c r="C26" i="37"/>
  <c r="N17" i="4"/>
  <c r="F12" i="40"/>
  <c r="H36" i="37"/>
  <c r="J7" i="34"/>
  <c r="Y21" i="4"/>
  <c r="V13" i="4"/>
  <c r="F11" i="53"/>
  <c r="Y12" i="4"/>
  <c r="J4" i="42"/>
  <c r="V24" i="4"/>
  <c r="G5" i="40"/>
  <c r="I4" i="45"/>
  <c r="C27" i="46"/>
  <c r="J15" i="45"/>
  <c r="Z21" i="4"/>
  <c r="N26" i="4"/>
  <c r="G13" i="34"/>
  <c r="L23" i="4"/>
  <c r="F14" i="37"/>
  <c r="I8" i="45"/>
  <c r="C18" i="42"/>
  <c r="H15" i="38"/>
  <c r="H18" i="35"/>
  <c r="J5" i="50"/>
  <c r="I14" i="46"/>
  <c r="AA23" i="4"/>
  <c r="I12" i="50"/>
  <c r="I5" i="35"/>
  <c r="I4" i="53"/>
  <c r="H23" i="52"/>
  <c r="C35" i="52"/>
  <c r="Y17" i="4"/>
  <c r="G5" i="45"/>
  <c r="C35" i="37"/>
  <c r="C22" i="35"/>
  <c r="J5" i="45"/>
  <c r="H25" i="53"/>
  <c r="H10" i="38"/>
  <c r="F10" i="45"/>
  <c r="C20" i="46"/>
  <c r="F15" i="37"/>
  <c r="C26" i="46"/>
  <c r="I4" i="38"/>
  <c r="W14" i="4"/>
  <c r="I12" i="45"/>
  <c r="J8" i="53"/>
  <c r="Q26" i="4"/>
  <c r="H10" i="34"/>
  <c r="G4" i="53"/>
  <c r="H27" i="52"/>
  <c r="G4" i="50"/>
  <c r="I14" i="53"/>
  <c r="H7" i="42"/>
  <c r="C21" i="37"/>
  <c r="C31" i="40"/>
  <c r="H11" i="50"/>
  <c r="S16" i="4"/>
  <c r="C40" i="45"/>
  <c r="U23" i="4"/>
  <c r="Q14" i="4"/>
  <c r="I5" i="42"/>
  <c r="H41" i="38"/>
  <c r="AB19" i="4"/>
  <c r="K9" i="40"/>
  <c r="G10" i="45"/>
  <c r="K13" i="37"/>
  <c r="H26" i="38"/>
  <c r="V19" i="4"/>
  <c r="C42" i="45"/>
  <c r="G12" i="40"/>
  <c r="X12" i="4"/>
  <c r="G14" i="53"/>
  <c r="H11" i="53"/>
  <c r="J14" i="37"/>
  <c r="C31" i="52"/>
  <c r="I13" i="37"/>
  <c r="U22" i="4"/>
  <c r="Z19" i="4"/>
  <c r="G16" i="49"/>
  <c r="G9" i="53"/>
  <c r="C35" i="53"/>
  <c r="I4" i="40"/>
  <c r="J14" i="46"/>
  <c r="F13" i="38"/>
  <c r="F16" i="50"/>
  <c r="C54" i="49"/>
  <c r="I6" i="35"/>
  <c r="G9" i="37"/>
  <c r="H20" i="37"/>
  <c r="U13" i="4"/>
  <c r="H13" i="34"/>
  <c r="P19" i="4"/>
  <c r="H7" i="34"/>
  <c r="F11" i="49"/>
  <c r="H5" i="38"/>
  <c r="K8" i="50"/>
  <c r="F13" i="50"/>
  <c r="K5" i="37"/>
  <c r="C42" i="37"/>
  <c r="H6" i="38"/>
  <c r="G15" i="37"/>
  <c r="C27" i="45"/>
  <c r="X23" i="4"/>
  <c r="J14" i="49"/>
  <c r="F10" i="50"/>
  <c r="K7" i="38"/>
  <c r="G8" i="52"/>
  <c r="H49" i="50"/>
  <c r="K12" i="45"/>
  <c r="J11" i="53"/>
  <c r="H17" i="49"/>
  <c r="C26" i="38"/>
  <c r="I8" i="46"/>
  <c r="C41" i="46"/>
  <c r="K17" i="50"/>
  <c r="H7" i="38"/>
  <c r="I13" i="50"/>
  <c r="AA12" i="4"/>
  <c r="R18" i="4"/>
  <c r="C22" i="50"/>
  <c r="W17" i="4"/>
  <c r="C23" i="49"/>
  <c r="H4" i="53"/>
  <c r="H5" i="53" s="1"/>
  <c r="C41" i="40"/>
  <c r="H42" i="40"/>
  <c r="C34" i="42"/>
  <c r="J10" i="38"/>
  <c r="J11" i="38" s="1"/>
  <c r="H53" i="50"/>
  <c r="H37" i="37"/>
  <c r="J6" i="40"/>
  <c r="J7" i="40" s="1"/>
  <c r="Y11" i="4"/>
  <c r="Q13" i="4"/>
  <c r="C39" i="50"/>
  <c r="H40" i="53"/>
  <c r="R26" i="4"/>
  <c r="Z22" i="4"/>
  <c r="K8" i="45"/>
  <c r="I4" i="37"/>
  <c r="K7" i="46"/>
  <c r="H35" i="34"/>
  <c r="K5" i="53"/>
  <c r="Q21" i="4"/>
  <c r="F15" i="40"/>
  <c r="C24" i="50"/>
  <c r="F8" i="42"/>
  <c r="V18" i="4"/>
  <c r="L6" i="49"/>
  <c r="L7" i="49" s="1"/>
  <c r="H12" i="52"/>
  <c r="H34" i="52"/>
  <c r="M15" i="4"/>
  <c r="C40" i="37"/>
  <c r="I4" i="34"/>
  <c r="R11" i="4"/>
  <c r="S19" i="4"/>
  <c r="H4" i="52"/>
  <c r="I9" i="34"/>
  <c r="C20" i="45"/>
  <c r="I15" i="53"/>
  <c r="H15" i="45"/>
  <c r="H7" i="46"/>
  <c r="C35" i="34"/>
  <c r="H27" i="45"/>
  <c r="H27" i="40"/>
  <c r="J11" i="42"/>
  <c r="K5" i="38"/>
  <c r="F10" i="42"/>
  <c r="J6" i="38"/>
  <c r="AA17" i="4"/>
  <c r="G13" i="46"/>
  <c r="M12" i="4"/>
  <c r="C34" i="49"/>
  <c r="H4" i="40"/>
  <c r="C19" i="42"/>
  <c r="F8" i="45"/>
  <c r="F7" i="42"/>
  <c r="K9" i="38"/>
  <c r="C26" i="42"/>
  <c r="J15" i="46"/>
  <c r="F8" i="40"/>
  <c r="R19" i="4"/>
  <c r="P15" i="4"/>
  <c r="Z23" i="4"/>
  <c r="I5" i="45"/>
  <c r="H4" i="45"/>
  <c r="H27" i="34"/>
  <c r="I4" i="52"/>
  <c r="R22" i="4"/>
  <c r="I8" i="49"/>
  <c r="O12" i="4"/>
  <c r="G12" i="35"/>
  <c r="G13" i="35" s="1"/>
  <c r="H31" i="37"/>
  <c r="J8" i="34"/>
  <c r="J6" i="50"/>
  <c r="H26" i="45"/>
  <c r="AB16" i="4"/>
  <c r="F6" i="34"/>
  <c r="F7" i="34" s="1"/>
  <c r="F11" i="34"/>
  <c r="C35" i="46"/>
  <c r="J16" i="49"/>
  <c r="J17" i="49" s="1"/>
  <c r="K4" i="40"/>
  <c r="H27" i="53"/>
  <c r="R25" i="4"/>
  <c r="G10" i="42"/>
  <c r="G11" i="42" s="1"/>
  <c r="J4" i="52"/>
  <c r="J5" i="52" s="1"/>
  <c r="F12" i="52"/>
  <c r="F13" i="52" s="1"/>
  <c r="AA14" i="4"/>
  <c r="H38" i="50"/>
  <c r="X26" i="4"/>
  <c r="F6" i="37"/>
  <c r="AB17" i="4"/>
  <c r="J8" i="46"/>
  <c r="J9" i="46" s="1"/>
  <c r="C37" i="37"/>
  <c r="K5" i="45"/>
  <c r="Z11" i="4"/>
  <c r="H18" i="42"/>
  <c r="F8" i="53"/>
  <c r="F9" i="53" s="1"/>
  <c r="C32" i="49"/>
  <c r="I6" i="52"/>
  <c r="I7" i="52" s="1"/>
  <c r="L21" i="4"/>
  <c r="Z18" i="4"/>
  <c r="O15" i="4"/>
  <c r="H12" i="42"/>
  <c r="P16" i="4"/>
  <c r="I7" i="37"/>
  <c r="J10" i="35"/>
  <c r="L26" i="4"/>
  <c r="I8" i="40"/>
  <c r="I9" i="40" s="1"/>
  <c r="I8" i="52"/>
  <c r="I9" i="52" s="1"/>
  <c r="K8" i="46"/>
  <c r="H6" i="35"/>
  <c r="G14" i="40"/>
  <c r="Q17" i="4"/>
  <c r="I6" i="40"/>
  <c r="I7" i="40" s="1"/>
  <c r="X13" i="4"/>
  <c r="H21" i="38"/>
  <c r="F8" i="46"/>
  <c r="J5" i="38"/>
  <c r="F13" i="46"/>
  <c r="H22" i="40"/>
  <c r="F12" i="37"/>
  <c r="K7" i="53"/>
  <c r="K11" i="50"/>
  <c r="AA15" i="4"/>
  <c r="I8" i="50"/>
  <c r="J10" i="52"/>
  <c r="J11" i="52" s="1"/>
  <c r="W18" i="4"/>
  <c r="AA21" i="4"/>
  <c r="H30" i="45"/>
  <c r="C30" i="42"/>
  <c r="F14" i="50"/>
  <c r="L4" i="49"/>
  <c r="I12" i="49"/>
  <c r="L11" i="50"/>
  <c r="F17" i="49"/>
  <c r="H7" i="40"/>
  <c r="H13" i="46"/>
  <c r="AA16" i="4"/>
  <c r="F10" i="40"/>
  <c r="H4" i="50"/>
  <c r="H5" i="50" s="1"/>
  <c r="G11" i="40"/>
  <c r="K13" i="46"/>
  <c r="I14" i="50"/>
  <c r="C35" i="38"/>
  <c r="C35" i="42"/>
  <c r="AB13" i="4"/>
  <c r="S24" i="4"/>
  <c r="S25" i="4"/>
  <c r="F8" i="49"/>
  <c r="F9" i="49" s="1"/>
  <c r="W24" i="4"/>
  <c r="H44" i="49"/>
  <c r="J8" i="38"/>
  <c r="H37" i="50"/>
  <c r="G10" i="50"/>
  <c r="U17" i="4"/>
  <c r="G12" i="45"/>
  <c r="C25" i="38"/>
  <c r="F6" i="50"/>
  <c r="I6" i="46"/>
  <c r="I13" i="42"/>
  <c r="H12" i="50"/>
  <c r="H36" i="45"/>
  <c r="G10" i="46"/>
  <c r="G11" i="46" s="1"/>
  <c r="F9" i="37"/>
  <c r="Y18" i="4"/>
  <c r="H7" i="50"/>
  <c r="H4" i="34"/>
  <c r="H29" i="49"/>
  <c r="H32" i="53"/>
  <c r="H14" i="53"/>
  <c r="J4" i="53"/>
  <c r="H24" i="50"/>
  <c r="L12" i="4"/>
  <c r="I8" i="38"/>
  <c r="C54" i="50"/>
  <c r="H14" i="37"/>
  <c r="H22" i="38"/>
  <c r="I5" i="50"/>
  <c r="H21" i="45"/>
  <c r="R13" i="4"/>
  <c r="J11" i="49"/>
  <c r="F13" i="53"/>
  <c r="H21" i="40"/>
  <c r="X14" i="4"/>
  <c r="W16" i="4"/>
  <c r="I9" i="42"/>
  <c r="I5" i="52"/>
  <c r="H7" i="37"/>
  <c r="H39" i="49"/>
  <c r="H26" i="46"/>
  <c r="L11" i="4"/>
  <c r="I9" i="35"/>
  <c r="I12" i="35"/>
  <c r="AB24" i="4"/>
  <c r="U12" i="4"/>
  <c r="H13" i="49"/>
  <c r="H18" i="34"/>
  <c r="H49" i="49"/>
  <c r="G9" i="46"/>
  <c r="Y16" i="4"/>
  <c r="K10" i="49"/>
  <c r="F8" i="52"/>
  <c r="F14" i="46"/>
  <c r="G5" i="34"/>
  <c r="C22" i="53"/>
  <c r="Z25" i="4"/>
  <c r="J9" i="49"/>
  <c r="F9" i="52"/>
  <c r="S17" i="4"/>
  <c r="C27" i="37"/>
  <c r="H25" i="38"/>
  <c r="K5" i="40"/>
  <c r="J11" i="37"/>
  <c r="J7" i="37"/>
  <c r="X22" i="4"/>
  <c r="I13" i="46"/>
  <c r="F13" i="34"/>
  <c r="C27" i="52"/>
  <c r="G15" i="50"/>
  <c r="H13" i="37"/>
  <c r="G9" i="42"/>
  <c r="J15" i="50"/>
  <c r="K10" i="40"/>
  <c r="F7" i="52"/>
  <c r="O24" i="4"/>
  <c r="I7" i="53"/>
  <c r="F9" i="46"/>
  <c r="J11" i="35"/>
  <c r="G5" i="49"/>
  <c r="K13" i="45"/>
  <c r="G15" i="40"/>
  <c r="K5" i="46"/>
  <c r="H32" i="38"/>
  <c r="M22" i="4"/>
  <c r="N18" i="4"/>
  <c r="H40" i="46"/>
  <c r="H35" i="52"/>
  <c r="J8" i="45"/>
  <c r="J9" i="45" s="1"/>
  <c r="L17" i="4"/>
  <c r="C43" i="49"/>
  <c r="G8" i="35"/>
  <c r="G9" i="35" s="1"/>
  <c r="H32" i="37"/>
  <c r="I12" i="34"/>
  <c r="I13" i="34" s="1"/>
  <c r="Y14" i="4"/>
  <c r="H47" i="49"/>
  <c r="H42" i="37"/>
  <c r="C37" i="45"/>
  <c r="F12" i="45"/>
  <c r="F13" i="45" s="1"/>
  <c r="H23" i="35"/>
  <c r="C37" i="40"/>
  <c r="J9" i="52"/>
  <c r="C34" i="35"/>
  <c r="H26" i="53"/>
  <c r="W20" i="4"/>
  <c r="U18" i="4"/>
  <c r="J10" i="46"/>
  <c r="G4" i="38"/>
  <c r="Q16" i="4"/>
  <c r="V22" i="4"/>
  <c r="AB21" i="4"/>
  <c r="I12" i="52"/>
  <c r="H25" i="37"/>
  <c r="G4" i="37"/>
  <c r="G14" i="49"/>
  <c r="H47" i="50"/>
  <c r="J5" i="42"/>
  <c r="J8" i="37"/>
  <c r="H20" i="40"/>
  <c r="H35" i="38"/>
  <c r="P12" i="4"/>
  <c r="H32" i="49"/>
  <c r="K10" i="37"/>
  <c r="F12" i="49"/>
  <c r="G5" i="37"/>
  <c r="H14" i="49"/>
  <c r="H15" i="49" s="1"/>
  <c r="I6" i="45"/>
  <c r="G4" i="42"/>
  <c r="H42" i="50"/>
  <c r="H37" i="53"/>
  <c r="C22" i="40"/>
  <c r="H53" i="49"/>
  <c r="F13" i="40"/>
  <c r="N22" i="4"/>
  <c r="F11" i="38"/>
  <c r="J7" i="50"/>
  <c r="H40" i="38"/>
  <c r="K6" i="37"/>
  <c r="I15" i="46"/>
  <c r="I9" i="49"/>
  <c r="H5" i="35"/>
  <c r="J14" i="40"/>
  <c r="C42" i="50"/>
  <c r="Y20" i="4"/>
  <c r="H34" i="50"/>
  <c r="Y26" i="4"/>
  <c r="S21" i="4"/>
  <c r="K13" i="49"/>
  <c r="V23" i="4"/>
  <c r="I4" i="49"/>
  <c r="J4" i="34"/>
  <c r="K12" i="38"/>
  <c r="N21" i="4"/>
  <c r="H10" i="42"/>
  <c r="H7" i="35"/>
  <c r="H13" i="50"/>
  <c r="H28" i="50"/>
  <c r="I9" i="45"/>
  <c r="M23" i="4"/>
  <c r="I7" i="45"/>
  <c r="C30" i="46"/>
  <c r="H20" i="38"/>
  <c r="F6" i="46"/>
  <c r="X18" i="4"/>
  <c r="G15" i="53"/>
  <c r="C27" i="49"/>
  <c r="G9" i="45"/>
  <c r="R12" i="4"/>
  <c r="M16" i="4"/>
  <c r="O11" i="4"/>
  <c r="W11" i="4"/>
  <c r="C47" i="50"/>
  <c r="H34" i="35"/>
  <c r="Z13" i="4"/>
  <c r="W13" i="4"/>
  <c r="K16" i="49"/>
  <c r="C22" i="42"/>
  <c r="H48" i="49"/>
  <c r="H31" i="34"/>
  <c r="F8" i="35"/>
  <c r="F9" i="35" s="1"/>
  <c r="K10" i="45"/>
  <c r="X25" i="4"/>
  <c r="K9" i="37"/>
  <c r="H12" i="53"/>
  <c r="H13" i="53" s="1"/>
  <c r="H10" i="37"/>
  <c r="H41" i="40"/>
  <c r="J4" i="46"/>
  <c r="C25" i="40"/>
  <c r="I13" i="45"/>
  <c r="P14" i="4"/>
  <c r="C34" i="34"/>
  <c r="AB18" i="4"/>
  <c r="H22" i="49"/>
  <c r="K6" i="45"/>
  <c r="G13" i="45"/>
  <c r="J7" i="35"/>
  <c r="I14" i="45"/>
  <c r="G9" i="38"/>
  <c r="K7" i="50"/>
  <c r="Y15" i="4"/>
  <c r="H7" i="52"/>
  <c r="H26" i="42"/>
  <c r="C44" i="50"/>
  <c r="I5" i="37"/>
  <c r="J7" i="42"/>
  <c r="G5" i="53"/>
  <c r="F15" i="50"/>
  <c r="L8" i="49"/>
  <c r="L9" i="49" s="1"/>
  <c r="P24" i="4"/>
  <c r="I9" i="37"/>
  <c r="J11" i="45"/>
  <c r="V11" i="4"/>
  <c r="C32" i="46"/>
  <c r="H30" i="52"/>
  <c r="H15" i="50"/>
  <c r="K7" i="49"/>
  <c r="C27" i="38"/>
  <c r="P26" i="4"/>
  <c r="K12" i="40"/>
  <c r="G11" i="37"/>
  <c r="J9" i="53"/>
  <c r="H37" i="45"/>
  <c r="L15" i="49"/>
  <c r="J4" i="35"/>
  <c r="H4" i="37"/>
  <c r="I16" i="49"/>
  <c r="K5" i="49"/>
  <c r="H5" i="49"/>
  <c r="L13" i="50"/>
  <c r="J15" i="40"/>
  <c r="M24" i="4"/>
  <c r="C41" i="38"/>
  <c r="H22" i="50"/>
  <c r="C44" i="49"/>
  <c r="H12" i="45"/>
  <c r="P13" i="4"/>
  <c r="L5" i="50"/>
  <c r="I6" i="49"/>
  <c r="I7" i="49" s="1"/>
  <c r="H25" i="40"/>
  <c r="G4" i="52"/>
  <c r="G12" i="37"/>
  <c r="G13" i="37" s="1"/>
  <c r="F10" i="52"/>
  <c r="O14" i="4"/>
  <c r="F6" i="45"/>
  <c r="F7" i="45" s="1"/>
  <c r="C20" i="40"/>
  <c r="L13" i="49"/>
  <c r="P22" i="4"/>
  <c r="H5" i="34"/>
  <c r="G9" i="49"/>
  <c r="G8" i="50"/>
  <c r="G9" i="52"/>
  <c r="F11" i="45"/>
  <c r="C43" i="50"/>
  <c r="C19" i="35"/>
  <c r="Y22" i="4"/>
  <c r="H27" i="38"/>
  <c r="F6" i="49"/>
  <c r="F7" i="49" s="1"/>
  <c r="J6" i="45"/>
  <c r="C35" i="35"/>
  <c r="I6" i="42"/>
  <c r="I7" i="42" s="1"/>
  <c r="J6" i="53"/>
  <c r="J7" i="53" s="1"/>
  <c r="J14" i="38"/>
  <c r="J15" i="38" s="1"/>
  <c r="H22" i="52"/>
  <c r="L19" i="4"/>
  <c r="F8" i="50"/>
  <c r="F9" i="50" s="1"/>
  <c r="F9" i="38"/>
  <c r="H22" i="34"/>
  <c r="F12" i="35"/>
  <c r="F13" i="35" s="1"/>
  <c r="L9" i="50"/>
  <c r="I15" i="49"/>
  <c r="F9" i="42"/>
  <c r="S23" i="4"/>
  <c r="J17" i="50"/>
  <c r="AB11" i="4"/>
  <c r="H5" i="42"/>
  <c r="H11" i="45"/>
  <c r="AB23" i="4"/>
  <c r="F8" i="34"/>
  <c r="F9" i="34" s="1"/>
  <c r="C26" i="45"/>
  <c r="H30" i="35"/>
  <c r="G10" i="38"/>
  <c r="H40" i="40"/>
  <c r="H5" i="46"/>
  <c r="J7" i="46"/>
  <c r="K12" i="53"/>
  <c r="K13" i="53" s="1"/>
  <c r="F14" i="38"/>
  <c r="C36" i="53"/>
  <c r="F15" i="46"/>
  <c r="I15" i="50"/>
  <c r="I14" i="40"/>
  <c r="J10" i="50"/>
  <c r="J5" i="37"/>
  <c r="C20" i="53"/>
  <c r="J7" i="52"/>
  <c r="J9" i="34"/>
  <c r="J5" i="46"/>
  <c r="H10" i="52"/>
  <c r="H11" i="52" s="1"/>
  <c r="G13" i="53"/>
  <c r="S12" i="4"/>
  <c r="C34" i="50"/>
  <c r="V20" i="4"/>
  <c r="L10" i="49"/>
  <c r="L11" i="49" s="1"/>
  <c r="H15" i="40"/>
  <c r="G10" i="49"/>
  <c r="K9" i="49"/>
  <c r="H11" i="40"/>
  <c r="L14" i="50"/>
  <c r="F11" i="46"/>
  <c r="G5" i="50"/>
  <c r="C18" i="34"/>
  <c r="C47" i="49"/>
  <c r="H16" i="50"/>
  <c r="H17" i="50" s="1"/>
  <c r="C39" i="49"/>
  <c r="C30" i="53"/>
  <c r="V16" i="4"/>
  <c r="I7" i="46"/>
  <c r="I13" i="52"/>
  <c r="I5" i="40"/>
  <c r="C21" i="40"/>
  <c r="R17" i="4"/>
  <c r="I14" i="38"/>
  <c r="I15" i="38" s="1"/>
  <c r="H20" i="53"/>
  <c r="C40" i="46"/>
  <c r="H10" i="35"/>
  <c r="H11" i="35" s="1"/>
  <c r="C22" i="34"/>
  <c r="C49" i="49"/>
  <c r="C36" i="38"/>
  <c r="J9" i="37"/>
  <c r="J6" i="49"/>
  <c r="Y13" i="4"/>
  <c r="G4" i="46"/>
  <c r="G5" i="46" s="1"/>
  <c r="H25" i="46"/>
  <c r="I7" i="50"/>
  <c r="W19" i="4"/>
  <c r="G5" i="38"/>
  <c r="F11" i="37"/>
  <c r="H28" i="49"/>
  <c r="H32" i="46"/>
  <c r="J11" i="34"/>
  <c r="F15" i="38"/>
  <c r="L14" i="38" l="1"/>
  <c r="M15" i="38"/>
  <c r="L7" i="34"/>
  <c r="K6" i="34"/>
  <c r="N9" i="49"/>
  <c r="M8" i="49"/>
  <c r="O41" i="4"/>
  <c r="L7" i="52"/>
  <c r="K6" i="52"/>
  <c r="K12" i="34"/>
  <c r="L13" i="34"/>
  <c r="P32" i="4"/>
  <c r="R36" i="4"/>
  <c r="M40" i="4"/>
  <c r="S34" i="4"/>
  <c r="L9" i="52"/>
  <c r="K8" i="52"/>
  <c r="M15" i="46"/>
  <c r="L14" i="46"/>
  <c r="K6" i="42"/>
  <c r="L7" i="42"/>
  <c r="N38" i="4"/>
  <c r="P36" i="4"/>
  <c r="P39" i="4"/>
  <c r="L8" i="53"/>
  <c r="M9" i="53"/>
  <c r="L28" i="4"/>
  <c r="M29" i="4"/>
  <c r="S38" i="4"/>
  <c r="M13" i="53"/>
  <c r="L12" i="53"/>
  <c r="R30" i="4"/>
  <c r="L29" i="4"/>
  <c r="P31" i="4"/>
  <c r="O31" i="4"/>
  <c r="L8" i="37"/>
  <c r="M9" i="37"/>
  <c r="Q31" i="4"/>
  <c r="N39" i="4"/>
  <c r="S33" i="4"/>
  <c r="P43" i="4"/>
  <c r="Q43" i="4"/>
  <c r="S42" i="4"/>
  <c r="S41" i="4"/>
  <c r="S36" i="4"/>
  <c r="R28" i="4"/>
  <c r="S40" i="4"/>
  <c r="K8" i="42"/>
  <c r="L9" i="42"/>
  <c r="M32" i="4"/>
  <c r="P29" i="4"/>
  <c r="K10" i="35"/>
  <c r="L11" i="35"/>
  <c r="Q40" i="4"/>
  <c r="O36" i="4"/>
  <c r="Q38" i="4"/>
  <c r="M13" i="46"/>
  <c r="L12" i="46"/>
  <c r="L40" i="4"/>
  <c r="S39" i="4"/>
  <c r="N43" i="4"/>
  <c r="Q33" i="4"/>
  <c r="Q39" i="4"/>
  <c r="N30" i="4"/>
  <c r="Q34" i="4"/>
  <c r="P30" i="4"/>
  <c r="Q29" i="4"/>
  <c r="L36" i="4"/>
  <c r="L43" i="4"/>
  <c r="R43" i="4"/>
  <c r="L37" i="4"/>
  <c r="P33" i="4"/>
  <c r="O32" i="4"/>
  <c r="N34" i="4"/>
  <c r="L38" i="4"/>
  <c r="S28" i="4"/>
  <c r="S37" i="4"/>
  <c r="L32" i="4"/>
  <c r="M35" i="4"/>
  <c r="Q30" i="4"/>
  <c r="L39" i="4"/>
  <c r="M36" i="4"/>
  <c r="R37" i="4"/>
  <c r="N32" i="4"/>
  <c r="L6" i="40"/>
  <c r="M7" i="40"/>
  <c r="O30" i="4"/>
  <c r="P42" i="4"/>
  <c r="P37" i="4"/>
  <c r="O39" i="4"/>
  <c r="N29" i="4"/>
  <c r="P38" i="4"/>
  <c r="R38" i="4"/>
  <c r="Q36" i="4"/>
  <c r="O37" i="4"/>
  <c r="Q42" i="4"/>
  <c r="M30" i="4"/>
  <c r="M38" i="4"/>
  <c r="P28" i="4"/>
  <c r="M34" i="4"/>
  <c r="N36" i="4"/>
  <c r="N37" i="4"/>
  <c r="S43" i="4"/>
  <c r="O38" i="4"/>
  <c r="P40" i="4"/>
  <c r="M28" i="4"/>
  <c r="S29" i="4"/>
  <c r="M37" i="4"/>
  <c r="R42" i="4"/>
  <c r="L31" i="4"/>
  <c r="R31" i="4"/>
  <c r="O40" i="4"/>
  <c r="M42" i="4"/>
  <c r="Q32" i="4"/>
  <c r="N31" i="4"/>
  <c r="Q35" i="4"/>
  <c r="M31" i="4"/>
  <c r="L34" i="4"/>
  <c r="Q28" i="4"/>
  <c r="N41" i="4"/>
  <c r="M43" i="4"/>
  <c r="O28" i="4"/>
  <c r="O34" i="4"/>
  <c r="Q37" i="4"/>
  <c r="R34" i="4"/>
  <c r="S35" i="4"/>
  <c r="R33" i="4"/>
  <c r="S30" i="4"/>
  <c r="P41" i="4"/>
  <c r="S31" i="4"/>
  <c r="P34" i="4"/>
  <c r="L42" i="4"/>
  <c r="M33" i="4"/>
  <c r="M41" i="4"/>
  <c r="O43" i="4"/>
  <c r="R41" i="4"/>
  <c r="O33" i="4"/>
  <c r="L35" i="4"/>
  <c r="S32" i="4"/>
  <c r="L41" i="4"/>
  <c r="N28" i="4"/>
  <c r="N35" i="4"/>
  <c r="L30" i="4"/>
  <c r="O29" i="4"/>
  <c r="R40" i="4"/>
  <c r="Q41" i="4"/>
  <c r="R29" i="4"/>
  <c r="R35" i="4"/>
  <c r="N33" i="4"/>
  <c r="M39" i="4"/>
  <c r="O35" i="4"/>
  <c r="R39" i="4"/>
  <c r="P35" i="4"/>
  <c r="O42" i="4"/>
  <c r="L33" i="4"/>
  <c r="N42" i="4"/>
  <c r="N40" i="4"/>
  <c r="R32" i="4"/>
  <c r="J7" i="49"/>
  <c r="G11" i="38"/>
  <c r="K13" i="40"/>
  <c r="F7" i="46"/>
  <c r="I5" i="49"/>
  <c r="J11" i="46"/>
  <c r="G11" i="50"/>
  <c r="F7" i="37"/>
  <c r="H5" i="52"/>
  <c r="J15" i="49"/>
  <c r="H11" i="34"/>
  <c r="I13" i="38"/>
  <c r="G11" i="34"/>
  <c r="I17" i="50"/>
  <c r="J5" i="35"/>
  <c r="H15" i="37"/>
  <c r="G15" i="49"/>
  <c r="J9" i="50"/>
  <c r="I5" i="38"/>
  <c r="H7" i="53"/>
  <c r="H15" i="53"/>
  <c r="G13" i="40"/>
  <c r="G13" i="50"/>
  <c r="H7" i="49"/>
  <c r="H13" i="45"/>
  <c r="H13" i="38"/>
  <c r="L15" i="50"/>
  <c r="G9" i="50"/>
  <c r="K7" i="45"/>
  <c r="H11" i="42"/>
  <c r="K7" i="37"/>
  <c r="K11" i="49"/>
  <c r="J9" i="38"/>
  <c r="F9" i="40"/>
  <c r="K9" i="45"/>
  <c r="I7" i="35"/>
  <c r="I5" i="53"/>
  <c r="I7" i="38"/>
  <c r="J11" i="40"/>
  <c r="I5" i="46"/>
  <c r="F9" i="45"/>
  <c r="J5" i="53"/>
  <c r="F13" i="37"/>
  <c r="F13" i="49"/>
  <c r="I13" i="49"/>
  <c r="H5" i="45"/>
  <c r="H11" i="38"/>
  <c r="G5" i="52"/>
  <c r="J9" i="40"/>
  <c r="I15" i="37"/>
  <c r="I17" i="49"/>
  <c r="G11" i="52"/>
  <c r="I9" i="38"/>
  <c r="G11" i="45"/>
  <c r="G11" i="49"/>
  <c r="F11" i="52"/>
  <c r="H11" i="37"/>
  <c r="K13" i="38"/>
  <c r="G5" i="42"/>
  <c r="I13" i="35"/>
  <c r="I9" i="50"/>
  <c r="J7" i="38"/>
  <c r="I9" i="46"/>
  <c r="F17" i="50"/>
  <c r="F15" i="45"/>
  <c r="K13" i="50"/>
  <c r="J9" i="35"/>
  <c r="K11" i="40"/>
  <c r="H5" i="40"/>
  <c r="I5" i="34"/>
  <c r="J7" i="45"/>
  <c r="H13" i="42"/>
  <c r="K11" i="45"/>
  <c r="K9" i="50"/>
  <c r="L5" i="49"/>
  <c r="F11" i="40"/>
  <c r="I15" i="45"/>
  <c r="G13" i="42"/>
  <c r="H13" i="52"/>
  <c r="I15" i="40"/>
  <c r="G11" i="53"/>
  <c r="H13" i="40"/>
  <c r="J11" i="50"/>
  <c r="H5" i="37"/>
  <c r="K17" i="49"/>
  <c r="J5" i="34"/>
  <c r="K11" i="37"/>
  <c r="F7" i="50"/>
  <c r="K9" i="46"/>
  <c r="F11" i="42"/>
  <c r="F11" i="50"/>
  <c r="J15" i="37"/>
  <c r="K5" i="50"/>
  <c r="G9" i="34"/>
  <c r="G13" i="52"/>
  <c r="G17" i="49"/>
  <c r="J5" i="49"/>
  <c r="L9" i="34" l="1"/>
  <c r="K8" i="34"/>
  <c r="M4" i="50"/>
  <c r="N5" i="50"/>
  <c r="M10" i="50"/>
  <c r="N11" i="50"/>
  <c r="K10" i="42"/>
  <c r="L11" i="42"/>
  <c r="N7" i="50"/>
  <c r="M6" i="50"/>
  <c r="M5" i="37"/>
  <c r="L4" i="37"/>
  <c r="K8" i="35"/>
  <c r="L9" i="35"/>
  <c r="N17" i="50"/>
  <c r="M16" i="50"/>
  <c r="M9" i="46"/>
  <c r="L8" i="46"/>
  <c r="L13" i="35"/>
  <c r="K12" i="35"/>
  <c r="L5" i="42"/>
  <c r="K4" i="42"/>
  <c r="M11" i="37"/>
  <c r="L10" i="37"/>
  <c r="N11" i="49"/>
  <c r="M10" i="49"/>
  <c r="M5" i="46"/>
  <c r="L4" i="46"/>
  <c r="L6" i="38"/>
  <c r="M7" i="38"/>
  <c r="L7" i="35"/>
  <c r="K6" i="35"/>
  <c r="N15" i="50"/>
  <c r="M14" i="50"/>
  <c r="L11" i="34"/>
  <c r="K10" i="34"/>
  <c r="L6" i="37"/>
  <c r="M7" i="37"/>
  <c r="L10" i="46"/>
  <c r="M11" i="46"/>
  <c r="L6" i="46"/>
  <c r="M7" i="46"/>
  <c r="L12" i="45"/>
  <c r="M13" i="45"/>
  <c r="K12" i="42"/>
  <c r="L13" i="42"/>
  <c r="N7" i="49"/>
  <c r="M6" i="49"/>
  <c r="L10" i="45"/>
  <c r="M11" i="45"/>
  <c r="L14" i="45"/>
  <c r="M15" i="45"/>
  <c r="M9" i="40"/>
  <c r="L8" i="40"/>
  <c r="N13" i="50"/>
  <c r="M12" i="50"/>
  <c r="L10" i="53"/>
  <c r="M11" i="53"/>
  <c r="M11" i="40"/>
  <c r="L10" i="40"/>
  <c r="K4" i="52"/>
  <c r="L5" i="52"/>
  <c r="M13" i="40"/>
  <c r="L12" i="40"/>
  <c r="L12" i="38"/>
  <c r="M13" i="38"/>
  <c r="L10" i="38"/>
  <c r="M11" i="38"/>
  <c r="M15" i="53"/>
  <c r="L14" i="53"/>
  <c r="L8" i="38"/>
  <c r="M9" i="38"/>
  <c r="M5" i="45"/>
  <c r="L4" i="45"/>
  <c r="L6" i="53"/>
  <c r="M7" i="53"/>
  <c r="M4" i="49"/>
  <c r="N5" i="49"/>
  <c r="M5" i="38"/>
  <c r="L4" i="38"/>
  <c r="L14" i="40"/>
  <c r="M15" i="40"/>
  <c r="N13" i="49"/>
  <c r="M12" i="49"/>
  <c r="M8" i="50"/>
  <c r="N9" i="50"/>
  <c r="K10" i="52"/>
  <c r="L11" i="52"/>
  <c r="M7" i="45"/>
  <c r="L6" i="45"/>
  <c r="L12" i="37"/>
  <c r="M13" i="37"/>
  <c r="M14" i="49"/>
  <c r="N15" i="49"/>
  <c r="L13" i="52"/>
  <c r="K12" i="52"/>
  <c r="K4" i="34"/>
  <c r="L5" i="34"/>
  <c r="L4" i="53"/>
  <c r="M5" i="53"/>
  <c r="L14" i="37"/>
  <c r="M15" i="37"/>
  <c r="M16" i="49"/>
  <c r="N17" i="49"/>
  <c r="L4" i="40"/>
  <c r="M5" i="40"/>
  <c r="M9" i="45"/>
  <c r="L8" i="45"/>
  <c r="L5" i="35"/>
  <c r="K4" i="35"/>
</calcChain>
</file>

<file path=xl/sharedStrings.xml><?xml version="1.0" encoding="utf-8"?>
<sst xmlns="http://schemas.openxmlformats.org/spreadsheetml/2006/main" count="1047" uniqueCount="217">
  <si>
    <t>Команда</t>
  </si>
  <si>
    <t>победы</t>
  </si>
  <si>
    <t>место</t>
  </si>
  <si>
    <t>доп</t>
  </si>
  <si>
    <t>Тур 1</t>
  </si>
  <si>
    <t>Тур 2</t>
  </si>
  <si>
    <t>Тур 3</t>
  </si>
  <si>
    <t>Тур 4</t>
  </si>
  <si>
    <t>Тур 5</t>
  </si>
  <si>
    <t>ДВССЫЛ(АДРЕС(ПОИСКПОЗ(A5,СМЕЩ(ДВССЫЛ(АДРЕС(3,2,,,A4)),1,6+МАКС(СМЕЩ(ДВССЫЛ(АДРЕС(3,2,,,A4)),0,0,1,20)),2*МАКС(СМЕЩ(ДВССЫЛ(АДРЕС(3,2,,,A4)),0,0,1,20)),1),0)+3,3,,,A4))</t>
  </si>
  <si>
    <t>дор.</t>
  </si>
  <si>
    <t>Гедройц-Юраго Алексей</t>
  </si>
  <si>
    <t>Пелевин Андрей</t>
  </si>
  <si>
    <t>Иванов Юрий</t>
  </si>
  <si>
    <t>Горбунов Алексей</t>
  </si>
  <si>
    <t>Гаркавый Вадим</t>
  </si>
  <si>
    <t>Попов Виктор</t>
  </si>
  <si>
    <t>Приозерск. Группа ПоМ1</t>
  </si>
  <si>
    <t>Мужчины</t>
  </si>
  <si>
    <t>Большаков Василий</t>
  </si>
  <si>
    <t>Новиков Андрей</t>
  </si>
  <si>
    <t>Елсаков Сергей</t>
  </si>
  <si>
    <t>Зимин Михаил</t>
  </si>
  <si>
    <t>Приозерск. Группа ПоМ2</t>
  </si>
  <si>
    <t/>
  </si>
  <si>
    <t>Томск. Группа ТМ1</t>
  </si>
  <si>
    <t>Питер. Группа ПМ1</t>
  </si>
  <si>
    <t xml:space="preserve"> </t>
  </si>
  <si>
    <t>Питер. Группа ПМ2</t>
  </si>
  <si>
    <t>Москва. Группа ММ1</t>
  </si>
  <si>
    <t>мужчины</t>
  </si>
  <si>
    <t>Лист ожидания Москва</t>
  </si>
  <si>
    <t>Место</t>
  </si>
  <si>
    <t>Игрок</t>
  </si>
  <si>
    <t>процент побед</t>
  </si>
  <si>
    <t>поб над ф</t>
  </si>
  <si>
    <t>ср разн</t>
  </si>
  <si>
    <t>ср очки</t>
  </si>
  <si>
    <t>группа</t>
  </si>
  <si>
    <t>Рейтинг</t>
  </si>
  <si>
    <t>Москва. Группа ММ2</t>
  </si>
  <si>
    <t>Москва. Группа ММ3</t>
  </si>
  <si>
    <t>Москва. Группа ММ4</t>
  </si>
  <si>
    <t>Москва. Группа ММ5</t>
  </si>
  <si>
    <t>утро</t>
  </si>
  <si>
    <t>вечер</t>
  </si>
  <si>
    <t>Калуга. Группа КМ2</t>
  </si>
  <si>
    <t>Калуга. Группа КМ1</t>
  </si>
  <si>
    <t xml:space="preserve">№пп </t>
  </si>
  <si>
    <t>Город</t>
  </si>
  <si>
    <t>Группа</t>
  </si>
  <si>
    <t>Приозерск</t>
  </si>
  <si>
    <t>Питер</t>
  </si>
  <si>
    <t>Мишин Дмитрий</t>
  </si>
  <si>
    <t>Смирнов Виктор</t>
  </si>
  <si>
    <t>ПМ1</t>
  </si>
  <si>
    <t>Кувакин Валерий</t>
  </si>
  <si>
    <t>ПМ2</t>
  </si>
  <si>
    <t>Замены</t>
  </si>
  <si>
    <t>Приозерск. Группа ПоМ3</t>
  </si>
  <si>
    <t>Капов Иван</t>
  </si>
  <si>
    <t>Зинкеев Георгий</t>
  </si>
  <si>
    <t>Большаков Михаил</t>
  </si>
  <si>
    <t>Тиханов Виктор</t>
  </si>
  <si>
    <t>Пелевин Алексей</t>
  </si>
  <si>
    <t>Кулаков Петр</t>
  </si>
  <si>
    <t>Таратин Артем</t>
  </si>
  <si>
    <t>Калякин Максим</t>
  </si>
  <si>
    <t>Калякин Артемий</t>
  </si>
  <si>
    <t>Худяков Юрий</t>
  </si>
  <si>
    <t>Северов Михаил</t>
  </si>
  <si>
    <t>Мишарин Олег</t>
  </si>
  <si>
    <t>Домбровский Сергей</t>
  </si>
  <si>
    <t>Карепов Маколей</t>
  </si>
  <si>
    <t>Питер. Группа ПМ3</t>
  </si>
  <si>
    <t>Питер. Группа ПМ4</t>
  </si>
  <si>
    <t>Новороссийск. Группа НМ1</t>
  </si>
  <si>
    <t>Москва. Группа ММ6</t>
  </si>
  <si>
    <t>Поток в финале</t>
  </si>
  <si>
    <t>По1</t>
  </si>
  <si>
    <t>По2</t>
  </si>
  <si>
    <t>По3</t>
  </si>
  <si>
    <t>муж</t>
  </si>
  <si>
    <t>Воронов Олег</t>
  </si>
  <si>
    <t>Базарев Дмитрий</t>
  </si>
  <si>
    <t>Тихонов Дмитрий</t>
  </si>
  <si>
    <t>Кузьмин Дмитрий</t>
  </si>
  <si>
    <t>Волков Денис</t>
  </si>
  <si>
    <t>Бейгер Максим</t>
  </si>
  <si>
    <t>Земцов Сергей</t>
  </si>
  <si>
    <t>Гулинин Евгений</t>
  </si>
  <si>
    <t>Иванов Евгений</t>
  </si>
  <si>
    <t>Столяров Игорь</t>
  </si>
  <si>
    <t>Новиков Петр</t>
  </si>
  <si>
    <t>Тур 6</t>
  </si>
  <si>
    <t>Тур 7</t>
  </si>
  <si>
    <t>Трутнев Евгений</t>
  </si>
  <si>
    <t>Шундрин Михаил</t>
  </si>
  <si>
    <t>Михеенко Алексей</t>
  </si>
  <si>
    <t>Шундрин Алексей</t>
  </si>
  <si>
    <t>Шундрин Дмитрий</t>
  </si>
  <si>
    <t>Гоцфрид Константин</t>
  </si>
  <si>
    <t>Федотовский Олег</t>
  </si>
  <si>
    <t>Глеклер Андрей</t>
  </si>
  <si>
    <t>Царегородцев Александр</t>
  </si>
  <si>
    <t>Гаджиев Сеявуш</t>
  </si>
  <si>
    <t>Филатов Андрей</t>
  </si>
  <si>
    <t>Осокин Евгений</t>
  </si>
  <si>
    <t>Трофимов Александр</t>
  </si>
  <si>
    <t>Филатов Валерий</t>
  </si>
  <si>
    <t>Андрианмахаринжака</t>
  </si>
  <si>
    <t>Федотовский Максим</t>
  </si>
  <si>
    <t>Душечкин Роман</t>
  </si>
  <si>
    <t>Зюзин Игорь</t>
  </si>
  <si>
    <t>Свиридов Алексей</t>
  </si>
  <si>
    <t>Томилин Андрей</t>
  </si>
  <si>
    <t>Лямунов Никита</t>
  </si>
  <si>
    <t>Сафонов Сергей</t>
  </si>
  <si>
    <t>Федотов Николай</t>
  </si>
  <si>
    <t>Савельев Игорь</t>
  </si>
  <si>
    <t>Манукян Альберт</t>
  </si>
  <si>
    <t>Самыко Андрей</t>
  </si>
  <si>
    <t>Африканов Андрей</t>
  </si>
  <si>
    <t>Зуир Мустаид</t>
  </si>
  <si>
    <t>Анухин Виктор</t>
  </si>
  <si>
    <t>Захаров Владимир</t>
  </si>
  <si>
    <t>Самыко Артем</t>
  </si>
  <si>
    <t>Сендеров Александр</t>
  </si>
  <si>
    <t>ПМ3</t>
  </si>
  <si>
    <t>ПМ4</t>
  </si>
  <si>
    <t>Москва</t>
  </si>
  <si>
    <t>ММ1</t>
  </si>
  <si>
    <t>ММ2</t>
  </si>
  <si>
    <t>ММ3</t>
  </si>
  <si>
    <t>в стыке проиграл Царегородцеву</t>
  </si>
  <si>
    <t>выиграл в стыке у Шундрина А.</t>
  </si>
  <si>
    <t>вместо Северова</t>
  </si>
  <si>
    <t>Калуга</t>
  </si>
  <si>
    <t>КМ1</t>
  </si>
  <si>
    <t>КМ2</t>
  </si>
  <si>
    <t>Десногорск. Группа ДЖ1. Мужчины</t>
  </si>
  <si>
    <t>Гришков Сергей</t>
  </si>
  <si>
    <t>Догадин Евгений</t>
  </si>
  <si>
    <t>Гришков Егор</t>
  </si>
  <si>
    <t>Петрушко Алексей</t>
  </si>
  <si>
    <t>Кравцов Владимир</t>
  </si>
  <si>
    <t>Дубовицкий Игорь</t>
  </si>
  <si>
    <t>Вдовенко Виталий</t>
  </si>
  <si>
    <t>Ницинский Станислав</t>
  </si>
  <si>
    <t>ММ4</t>
  </si>
  <si>
    <t>Вахрушев Владимир</t>
  </si>
  <si>
    <t>Рядовиков Алексей</t>
  </si>
  <si>
    <t>Лухиши Хафидо</t>
  </si>
  <si>
    <t>Педченко Александр</t>
  </si>
  <si>
    <t>Агапов Александр</t>
  </si>
  <si>
    <t>Глуховский Аркадий</t>
  </si>
  <si>
    <t>ММ5</t>
  </si>
  <si>
    <t>Шапкин Константин</t>
  </si>
  <si>
    <t>Красноперов Игорь</t>
  </si>
  <si>
    <t>Ли Александр</t>
  </si>
  <si>
    <t>Горячев Никита</t>
  </si>
  <si>
    <t>Каргашин Илья</t>
  </si>
  <si>
    <t>Лютиков Александр</t>
  </si>
  <si>
    <t>Москва. Группа ММ7</t>
  </si>
  <si>
    <t xml:space="preserve">снялся после </t>
  </si>
  <si>
    <t>2-го тура</t>
  </si>
  <si>
    <t>аннулировано</t>
  </si>
  <si>
    <t>ММ6</t>
  </si>
  <si>
    <t>Поляков Алексей</t>
  </si>
  <si>
    <t>Папоян Григорий</t>
  </si>
  <si>
    <t>Денисов Евгений</t>
  </si>
  <si>
    <t>Рязанов Владимир</t>
  </si>
  <si>
    <t>Тарасов Константин</t>
  </si>
  <si>
    <t>ГРУППА ТМ1</t>
  </si>
  <si>
    <t>Данилов Иван</t>
  </si>
  <si>
    <t>Сяплин Андрей</t>
  </si>
  <si>
    <t>Петренко Евгений</t>
  </si>
  <si>
    <t>Гольдт Егор</t>
  </si>
  <si>
    <t>Мазеев Алексей</t>
  </si>
  <si>
    <t>ГРУППА ТМ 2</t>
  </si>
  <si>
    <t>разница</t>
  </si>
  <si>
    <t>Беляев Роман</t>
  </si>
  <si>
    <t>Багазеев Иван</t>
  </si>
  <si>
    <t>Шилов Александр</t>
  </si>
  <si>
    <t>Ятченко Дмитрий</t>
  </si>
  <si>
    <t>Томск. Группа ТМ2</t>
  </si>
  <si>
    <t>ГРУППА ТМ3</t>
  </si>
  <si>
    <t>Еремин Валерий</t>
  </si>
  <si>
    <t>Бобков Василий</t>
  </si>
  <si>
    <t>Андреев Юрий</t>
  </si>
  <si>
    <t>Хмылев Юрий</t>
  </si>
  <si>
    <t>Томск. Группа ТМ3</t>
  </si>
  <si>
    <t>Еремин Павел</t>
  </si>
  <si>
    <t>Помазан Геннадий</t>
  </si>
  <si>
    <t>Субанов Руслан</t>
  </si>
  <si>
    <t>Новороссийск</t>
  </si>
  <si>
    <t>НМ1</t>
  </si>
  <si>
    <t>Полярные Зори. Группа ПЗМ1</t>
  </si>
  <si>
    <t>Муругов Вадим</t>
  </si>
  <si>
    <t>Кунаев Илья</t>
  </si>
  <si>
    <t>Гандрабура Вячеслав</t>
  </si>
  <si>
    <t>Павлов Николай</t>
  </si>
  <si>
    <t>Стеценко Сергей</t>
  </si>
  <si>
    <t>Богатырев Александр</t>
  </si>
  <si>
    <t>Полярные Зори</t>
  </si>
  <si>
    <t>ПЗМ1</t>
  </si>
  <si>
    <t>вместо Павлова</t>
  </si>
  <si>
    <t>Томск</t>
  </si>
  <si>
    <t>ТМ3</t>
  </si>
  <si>
    <t>ТМ2</t>
  </si>
  <si>
    <t>вместо Ятченко</t>
  </si>
  <si>
    <t>Десногорск</t>
  </si>
  <si>
    <t>ДМ1</t>
  </si>
  <si>
    <t>ММ7</t>
  </si>
  <si>
    <t>из листа ожидания</t>
  </si>
  <si>
    <t>из листа ожидания Питера</t>
  </si>
  <si>
    <t>1 или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</si>
</sst>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+##;\-##"/>
    <numFmt numFmtId="165" formatCode="\+##;\-##;0"/>
  </numFmts>
  <fonts count="16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4"/>
      <color indexed="8"/>
      <name val="Cambria"/>
      <family val="1"/>
      <charset val="204"/>
      <scheme val="major"/>
    </font>
    <font>
      <sz val="16"/>
      <color theme="0" tint="-0.14999847407452621"/>
      <name val="Calibri"/>
      <family val="2"/>
      <charset val="204"/>
      <scheme val="minor"/>
    </font>
    <font>
      <b/>
      <sz val="36"/>
      <color indexed="8"/>
      <name val="Cambria"/>
      <family val="1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8"/>
      <color indexed="8"/>
      <name val="Cambria"/>
      <family val="1"/>
      <charset val="204"/>
      <scheme val="major"/>
    </font>
    <font>
      <b/>
      <sz val="18"/>
      <color theme="1"/>
      <name val="Calibri"/>
      <family val="2"/>
      <charset val="204"/>
      <scheme val="minor"/>
    </font>
    <font>
      <b/>
      <sz val="16"/>
      <color theme="0" tint="-0.14999847407452621"/>
      <name val="Calibri"/>
      <family val="2"/>
      <charset val="204"/>
      <scheme val="minor"/>
    </font>
    <font>
      <b/>
      <sz val="22"/>
      <color indexed="8"/>
      <name val="Cambria"/>
      <family val="1"/>
      <charset val="204"/>
      <scheme val="major"/>
    </font>
    <font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3" borderId="0" xfId="0" applyFill="1"/>
    <xf numFmtId="0" fontId="1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indent="1"/>
    </xf>
    <xf numFmtId="0" fontId="0" fillId="0" borderId="0" xfId="0" applyAlignment="1"/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right" indent="1"/>
    </xf>
    <xf numFmtId="0" fontId="5" fillId="0" borderId="0" xfId="0" applyFont="1" applyAlignment="1">
      <alignment horizontal="center"/>
    </xf>
    <xf numFmtId="0" fontId="0" fillId="0" borderId="23" xfId="0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11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Fill="1" applyBorder="1"/>
    <xf numFmtId="0" fontId="4" fillId="0" borderId="0" xfId="0" applyFont="1"/>
    <xf numFmtId="2" fontId="4" fillId="0" borderId="0" xfId="0" applyNumberFormat="1" applyFont="1"/>
    <xf numFmtId="0" fontId="0" fillId="0" borderId="23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165" fontId="1" fillId="0" borderId="41" xfId="0" applyNumberFormat="1" applyFont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20" fontId="0" fillId="0" borderId="0" xfId="0" applyNumberFormat="1"/>
    <xf numFmtId="0" fontId="0" fillId="3" borderId="0" xfId="0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165" fontId="1" fillId="5" borderId="6" xfId="0" applyNumberFormat="1" applyFont="1" applyFill="1" applyBorder="1" applyAlignment="1">
      <alignment horizontal="center" vertical="center"/>
    </xf>
    <xf numFmtId="165" fontId="1" fillId="5" borderId="9" xfId="0" applyNumberFormat="1" applyFont="1" applyFill="1" applyBorder="1" applyAlignment="1">
      <alignment horizontal="center" vertical="center"/>
    </xf>
    <xf numFmtId="165" fontId="1" fillId="5" borderId="8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65" fontId="1" fillId="6" borderId="6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5" fontId="0" fillId="0" borderId="0" xfId="0" applyNumberFormat="1"/>
    <xf numFmtId="164" fontId="15" fillId="2" borderId="6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15" fillId="2" borderId="11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/>
    <xf numFmtId="2" fontId="0" fillId="0" borderId="0" xfId="0" applyNumberFormat="1" applyBorder="1"/>
    <xf numFmtId="0" fontId="0" fillId="3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/>
    <xf numFmtId="0" fontId="0" fillId="0" borderId="52" xfId="0" applyFont="1" applyBorder="1" applyAlignment="1">
      <alignment horizontal="center"/>
    </xf>
    <xf numFmtId="0" fontId="0" fillId="0" borderId="52" xfId="0" applyFont="1" applyBorder="1"/>
    <xf numFmtId="2" fontId="0" fillId="0" borderId="52" xfId="0" applyNumberFormat="1" applyFont="1" applyBorder="1"/>
    <xf numFmtId="2" fontId="0" fillId="0" borderId="5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4" borderId="19" xfId="0" applyFont="1" applyFill="1" applyBorder="1" applyAlignment="1">
      <alignment horizontal="left" vertical="center" wrapText="1" indent="1"/>
    </xf>
    <xf numFmtId="0" fontId="3" fillId="4" borderId="27" xfId="0" applyFont="1" applyFill="1" applyBorder="1" applyAlignment="1">
      <alignment horizontal="left" vertical="center" wrapText="1" indent="1"/>
    </xf>
    <xf numFmtId="0" fontId="3" fillId="4" borderId="28" xfId="0" applyFont="1" applyFill="1" applyBorder="1" applyAlignment="1">
      <alignment horizontal="left" vertical="center" wrapText="1" indent="1"/>
    </xf>
    <xf numFmtId="0" fontId="3" fillId="4" borderId="20" xfId="0" applyFont="1" applyFill="1" applyBorder="1" applyAlignment="1">
      <alignment horizontal="left" vertical="center" wrapText="1" indent="1"/>
    </xf>
    <xf numFmtId="0" fontId="3" fillId="4" borderId="29" xfId="0" applyFont="1" applyFill="1" applyBorder="1" applyAlignment="1">
      <alignment horizontal="left" vertical="center" wrapText="1" indent="1"/>
    </xf>
    <xf numFmtId="0" fontId="3" fillId="4" borderId="30" xfId="0" applyFont="1" applyFill="1" applyBorder="1" applyAlignment="1">
      <alignment horizontal="left" vertical="center" wrapText="1" indent="1"/>
    </xf>
    <xf numFmtId="0" fontId="0" fillId="0" borderId="31" xfId="0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 indent="1"/>
    </xf>
    <xf numFmtId="0" fontId="3" fillId="0" borderId="29" xfId="0" applyFont="1" applyFill="1" applyBorder="1" applyAlignment="1">
      <alignment horizontal="left" vertical="center" wrapText="1" indent="1"/>
    </xf>
    <xf numFmtId="0" fontId="3" fillId="0" borderId="30" xfId="0" applyFont="1" applyFill="1" applyBorder="1" applyAlignment="1">
      <alignment horizontal="left" vertical="center" wrapText="1" indent="1"/>
    </xf>
    <xf numFmtId="0" fontId="0" fillId="0" borderId="37" xfId="0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 indent="1"/>
    </xf>
    <xf numFmtId="0" fontId="3" fillId="0" borderId="38" xfId="0" applyFont="1" applyFill="1" applyBorder="1" applyAlignment="1">
      <alignment horizontal="left" vertical="center" wrapText="1" indent="1"/>
    </xf>
    <xf numFmtId="0" fontId="3" fillId="0" borderId="39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 indent="1"/>
    </xf>
    <xf numFmtId="0" fontId="3" fillId="3" borderId="29" xfId="0" applyFont="1" applyFill="1" applyBorder="1" applyAlignment="1">
      <alignment horizontal="left" vertical="center" wrapText="1" indent="1"/>
    </xf>
    <xf numFmtId="0" fontId="3" fillId="3" borderId="30" xfId="0" applyFont="1" applyFill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 wrapText="1" indent="1"/>
    </xf>
    <xf numFmtId="0" fontId="3" fillId="3" borderId="27" xfId="0" applyFont="1" applyFill="1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left" vertical="center" wrapText="1" inden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wrapText="1" indent="1"/>
    </xf>
    <xf numFmtId="0" fontId="3" fillId="3" borderId="38" xfId="0" applyFont="1" applyFill="1" applyBorder="1" applyAlignment="1">
      <alignment horizontal="left" vertical="center" wrapText="1" indent="1"/>
    </xf>
    <xf numFmtId="0" fontId="3" fillId="3" borderId="39" xfId="0" applyFont="1" applyFill="1" applyBorder="1" applyAlignment="1">
      <alignment horizontal="left" vertical="center" wrapText="1" indent="1"/>
    </xf>
    <xf numFmtId="0" fontId="3" fillId="0" borderId="20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65" fontId="14" fillId="0" borderId="31" xfId="0" applyNumberFormat="1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165" fontId="14" fillId="0" borderId="23" xfId="0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0" borderId="4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8" xfId="0" applyNumberFormat="1" applyFont="1" applyBorder="1" applyAlignment="1">
      <alignment horizontal="center" vertical="center"/>
    </xf>
    <xf numFmtId="165" fontId="1" fillId="0" borderId="48" xfId="0" applyNumberFormat="1" applyFont="1" applyBorder="1" applyAlignment="1">
      <alignment horizontal="center" vertical="center"/>
    </xf>
    <xf numFmtId="165" fontId="1" fillId="0" borderId="48" xfId="0" applyNumberFormat="1" applyFont="1" applyFill="1" applyBorder="1" applyAlignment="1">
      <alignment horizontal="center" vertical="center"/>
    </xf>
    <xf numFmtId="165" fontId="1" fillId="0" borderId="41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65" fontId="15" fillId="5" borderId="6" xfId="0" applyNumberFormat="1" applyFont="1" applyFill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1" fillId="0" borderId="49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65" fontId="5" fillId="6" borderId="6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5" fillId="6" borderId="6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22" xfId="0" applyFont="1" applyFill="1" applyBorder="1" applyAlignment="1">
      <alignment horizontal="left" vertical="center" wrapText="1" indent="1"/>
    </xf>
    <xf numFmtId="0" fontId="3" fillId="4" borderId="38" xfId="0" applyFont="1" applyFill="1" applyBorder="1" applyAlignment="1">
      <alignment horizontal="left" vertical="center" wrapText="1" indent="1"/>
    </xf>
    <xf numFmtId="0" fontId="3" fillId="4" borderId="39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 indent="1"/>
    </xf>
    <xf numFmtId="0" fontId="3" fillId="0" borderId="27" xfId="0" applyFont="1" applyFill="1" applyBorder="1" applyAlignment="1">
      <alignment horizontal="left" vertical="center" wrapText="1" indent="1"/>
    </xf>
    <xf numFmtId="0" fontId="3" fillId="0" borderId="28" xfId="0" applyFont="1" applyFill="1" applyBorder="1" applyAlignment="1">
      <alignment horizontal="left" vertical="center" wrapText="1" indent="1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3" fillId="3" borderId="21" xfId="0" applyFont="1" applyFill="1" applyBorder="1" applyAlignment="1">
      <alignment horizontal="left" vertical="center" wrapText="1" indent="1"/>
    </xf>
    <xf numFmtId="0" fontId="3" fillId="3" borderId="35" xfId="0" applyFont="1" applyFill="1" applyBorder="1" applyAlignment="1">
      <alignment horizontal="left" vertical="center" wrapText="1" indent="1"/>
    </xf>
    <xf numFmtId="0" fontId="3" fillId="3" borderId="36" xfId="0" applyFont="1" applyFill="1" applyBorder="1" applyAlignment="1">
      <alignment horizontal="left" vertical="center" wrapText="1" indent="1"/>
    </xf>
    <xf numFmtId="0" fontId="3" fillId="0" borderId="17" xfId="0" applyFont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 wrapText="1" indent="1"/>
    </xf>
    <xf numFmtId="0" fontId="3" fillId="4" borderId="35" xfId="0" applyFont="1" applyFill="1" applyBorder="1" applyAlignment="1">
      <alignment horizontal="left" vertical="center" wrapText="1" indent="1"/>
    </xf>
    <xf numFmtId="0" fontId="3" fillId="4" borderId="36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C10" sqref="C10:E11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57" customWidth="1"/>
    <col min="14" max="15" width="10.28515625" customWidth="1"/>
  </cols>
  <sheetData>
    <row r="1" spans="2:13" ht="36" customHeight="1" x14ac:dyDescent="0.25">
      <c r="B1" s="127" t="s">
        <v>17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30</v>
      </c>
      <c r="M1" s="31">
        <v>46031</v>
      </c>
    </row>
    <row r="2" spans="2:13" ht="15.75" thickBot="1" x14ac:dyDescent="0.3">
      <c r="M2"/>
    </row>
    <row r="3" spans="2:13" ht="30" customHeight="1" thickBot="1" x14ac:dyDescent="0.3">
      <c r="B3" s="52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52" t="s">
        <v>1</v>
      </c>
      <c r="L3" s="1" t="s">
        <v>3</v>
      </c>
      <c r="M3" s="21" t="s">
        <v>2</v>
      </c>
    </row>
    <row r="4" spans="2:13" ht="24" customHeight="1" x14ac:dyDescent="0.25">
      <c r="B4" s="131">
        <v>1</v>
      </c>
      <c r="C4" s="133" t="s">
        <v>19</v>
      </c>
      <c r="D4" s="134"/>
      <c r="E4" s="135"/>
      <c r="F4" s="10" t="s">
        <v>24</v>
      </c>
      <c r="G4" s="6" t="str">
        <f ca="1">INDIRECT(ADDRESS(23,6))&amp;":"&amp;INDIRECT(ADDRESS(23,7))</f>
        <v>13:2</v>
      </c>
      <c r="H4" s="6" t="str">
        <f ca="1">INDIRECT(ADDRESS(26,7))&amp;":"&amp;INDIRECT(ADDRESS(26,6))</f>
        <v>13:3</v>
      </c>
      <c r="I4" s="6" t="str">
        <f ca="1">INDIRECT(ADDRESS(30,6))&amp;":"&amp;INDIRECT(ADDRESS(30,7))</f>
        <v>13:7</v>
      </c>
      <c r="J4" s="20" t="str">
        <f ca="1">INDIRECT(ADDRESS(35,7))&amp;":"&amp;INDIRECT(ADDRESS(35,6))</f>
        <v>13:10</v>
      </c>
      <c r="K4" s="150">
        <f ca="1">IF(COUNT(F5:J5)=0,"",COUNTIF(F5:J5,"&gt;0")+0.5*COUNTIF(F5:J5,0))</f>
        <v>4</v>
      </c>
      <c r="L4" s="23"/>
      <c r="M4" s="148">
        <v>1</v>
      </c>
    </row>
    <row r="5" spans="2:13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COLUMN())))=1,"",INDIRECT(ADDRESS(23,6))-INDIRECT(ADDRESS(23,7)))</f>
        <v>11</v>
      </c>
      <c r="H5" s="16">
        <f ca="1">IF(LEN(INDIRECT(ADDRESS(ROW()-1, COLUMN())))=1,"",INDIRECT(ADDRESS(26,7))-INDIRECT(ADDRESS(26,6)))</f>
        <v>10</v>
      </c>
      <c r="I5" s="16">
        <f ca="1">IF(LEN(INDIRECT(ADDRESS(ROW()-1, COLUMN())))=1,"",INDIRECT(ADDRESS(30,6))-INDIRECT(ADDRESS(30,7)))</f>
        <v>6</v>
      </c>
      <c r="J5" s="17">
        <f ca="1">IF(LEN(INDIRECT(ADDRESS(ROW()-1, COLUMN())))=1,"",INDIRECT(ADDRESS(35,7))-INDIRECT(ADDRESS(35,6)))</f>
        <v>3</v>
      </c>
      <c r="K5" s="151"/>
      <c r="L5" s="16">
        <f ca="1">IF(COUNT(F5:J5)=0,"",SUM(F5:J5))</f>
        <v>30</v>
      </c>
      <c r="M5" s="149"/>
    </row>
    <row r="6" spans="2:13" ht="24" customHeight="1" x14ac:dyDescent="0.25">
      <c r="B6" s="139">
        <v>2</v>
      </c>
      <c r="C6" s="136" t="s">
        <v>12</v>
      </c>
      <c r="D6" s="137"/>
      <c r="E6" s="138"/>
      <c r="F6" s="12" t="str">
        <f ca="1">INDIRECT(ADDRESS(23,7))&amp;":"&amp;INDIRECT(ADDRESS(23,6))</f>
        <v>2:13</v>
      </c>
      <c r="G6" s="8" t="s">
        <v>24</v>
      </c>
      <c r="H6" s="7" t="str">
        <f ca="1">INDIRECT(ADDRESS(31,6))&amp;":"&amp;INDIRECT(ADDRESS(31,7))</f>
        <v>13:10</v>
      </c>
      <c r="I6" s="7" t="str">
        <f ca="1">INDIRECT(ADDRESS(34,7))&amp;":"&amp;INDIRECT(ADDRESS(34,6))</f>
        <v>13:1</v>
      </c>
      <c r="J6" s="11" t="str">
        <f ca="1">INDIRECT(ADDRESS(18,6))&amp;":"&amp;INDIRECT(ADDRESS(18,7))</f>
        <v>13:9</v>
      </c>
      <c r="K6" s="151">
        <f ca="1">IF(COUNT(F7:J7)=0,"",COUNTIF(F7:J7,"&gt;0")+0.5*COUNTIF(F7:J7,0))</f>
        <v>3</v>
      </c>
      <c r="L6" s="16"/>
      <c r="M6" s="149">
        <v>2</v>
      </c>
    </row>
    <row r="7" spans="2:13" ht="24" customHeight="1" x14ac:dyDescent="0.25">
      <c r="B7" s="132"/>
      <c r="C7" s="136"/>
      <c r="D7" s="137"/>
      <c r="E7" s="138"/>
      <c r="F7" s="22">
        <f ca="1">IF(LEN(INDIRECT(ADDRESS(ROW()-1, COLUMN())))=1,"",INDIRECT(ADDRESS(23,7))-INDIRECT(ADDRESS(23,6)))</f>
        <v>-11</v>
      </c>
      <c r="G7" s="14" t="s">
        <v>24</v>
      </c>
      <c r="H7" s="16">
        <f ca="1">IF(LEN(INDIRECT(ADDRESS(ROW()-1, COLUMN())))=1,"",INDIRECT(ADDRESS(31,6))-INDIRECT(ADDRESS(31,7)))</f>
        <v>3</v>
      </c>
      <c r="I7" s="16">
        <f ca="1">IF(LEN(INDIRECT(ADDRESS(ROW()-1, COLUMN())))=1,"",INDIRECT(ADDRESS(34,7))-INDIRECT(ADDRESS(34,6)))</f>
        <v>12</v>
      </c>
      <c r="J7" s="17">
        <f ca="1">IF(LEN(INDIRECT(ADDRESS(ROW()-1, COLUMN())))=1,"",INDIRECT(ADDRESS(18,6))-INDIRECT(ADDRESS(18,7)))</f>
        <v>4</v>
      </c>
      <c r="K7" s="151"/>
      <c r="L7" s="16">
        <f ca="1">IF(COUNT(F7:J7)=0,"",SUM(F7:J7))</f>
        <v>8</v>
      </c>
      <c r="M7" s="149"/>
    </row>
    <row r="8" spans="2:13" ht="24" customHeight="1" x14ac:dyDescent="0.25">
      <c r="B8" s="139">
        <v>3</v>
      </c>
      <c r="C8" s="140" t="s">
        <v>21</v>
      </c>
      <c r="D8" s="141"/>
      <c r="E8" s="142"/>
      <c r="F8" s="12" t="str">
        <f ca="1">INDIRECT(ADDRESS(26,6))&amp;":"&amp;INDIRECT(ADDRESS(26,7))</f>
        <v>3:13</v>
      </c>
      <c r="G8" s="7" t="str">
        <f ca="1">INDIRECT(ADDRESS(31,7))&amp;":"&amp;INDIRECT(ADDRESS(31,6))</f>
        <v>10:13</v>
      </c>
      <c r="H8" s="8" t="s">
        <v>24</v>
      </c>
      <c r="I8" s="7" t="str">
        <f ca="1">INDIRECT(ADDRESS(19,6))&amp;":"&amp;INDIRECT(ADDRESS(19,7))</f>
        <v>10:13</v>
      </c>
      <c r="J8" s="11" t="str">
        <f ca="1">INDIRECT(ADDRESS(22,7))&amp;":"&amp;INDIRECT(ADDRESS(22,6))</f>
        <v>13:5</v>
      </c>
      <c r="K8" s="151">
        <f ca="1">IF(COUNT(F9:J9)=0,"",COUNTIF(F9:J9,"&gt;0")+0.5*COUNTIF(F9:J9,0))</f>
        <v>1</v>
      </c>
      <c r="L8" s="16"/>
      <c r="M8" s="149">
        <v>4</v>
      </c>
    </row>
    <row r="9" spans="2:13" ht="24" customHeight="1" x14ac:dyDescent="0.25">
      <c r="B9" s="132"/>
      <c r="C9" s="140"/>
      <c r="D9" s="141"/>
      <c r="E9" s="142"/>
      <c r="F9" s="22">
        <f ca="1">IF(LEN(INDIRECT(ADDRESS(ROW()-1, COLUMN())))=1,"",INDIRECT(ADDRESS(26,6))-INDIRECT(ADDRESS(26,7)))</f>
        <v>-10</v>
      </c>
      <c r="G9" s="16">
        <f ca="1">IF(LEN(INDIRECT(ADDRESS(ROW()-1, COLUMN())))=1,"",INDIRECT(ADDRESS(31,7))-INDIRECT(ADDRESS(31,6)))</f>
        <v>-3</v>
      </c>
      <c r="H9" s="14" t="s">
        <v>24</v>
      </c>
      <c r="I9" s="16">
        <f ca="1">IF(LEN(INDIRECT(ADDRESS(ROW()-1, COLUMN())))=1,"",INDIRECT(ADDRESS(19,6))-INDIRECT(ADDRESS(19,7)))</f>
        <v>-3</v>
      </c>
      <c r="J9" s="17">
        <f ca="1">IF(LEN(INDIRECT(ADDRESS(ROW()-1, COLUMN())))=1,"",INDIRECT(ADDRESS(22,7))-INDIRECT(ADDRESS(22,6)))</f>
        <v>8</v>
      </c>
      <c r="K9" s="151"/>
      <c r="L9" s="16">
        <f ca="1">IF(COUNT(F9:J9)=0,"",SUM(F9:J9))</f>
        <v>-8</v>
      </c>
      <c r="M9" s="149"/>
    </row>
    <row r="10" spans="2:13" ht="24" customHeight="1" x14ac:dyDescent="0.25">
      <c r="B10" s="139">
        <v>4</v>
      </c>
      <c r="C10" s="152" t="s">
        <v>15</v>
      </c>
      <c r="D10" s="153"/>
      <c r="E10" s="154"/>
      <c r="F10" s="12" t="str">
        <f ca="1">INDIRECT(ADDRESS(30,7))&amp;":"&amp;INDIRECT(ADDRESS(30,6))</f>
        <v>7:13</v>
      </c>
      <c r="G10" s="7" t="str">
        <f ca="1">INDIRECT(ADDRESS(34,6))&amp;":"&amp;INDIRECT(ADDRESS(34,7))</f>
        <v>1:13</v>
      </c>
      <c r="H10" s="7" t="str">
        <f ca="1">INDIRECT(ADDRESS(19,7))&amp;":"&amp;INDIRECT(ADDRESS(19,6))</f>
        <v>13:10</v>
      </c>
      <c r="I10" s="8" t="s">
        <v>24</v>
      </c>
      <c r="J10" s="11" t="str">
        <f ca="1">INDIRECT(ADDRESS(27,6))&amp;":"&amp;INDIRECT(ADDRESS(27,7))</f>
        <v>13:8</v>
      </c>
      <c r="K10" s="151">
        <f ca="1">IF(COUNT(F11:J11)=0,"",COUNTIF(F11:J11,"&gt;0")+0.5*COUNTIF(F11:J11,0))</f>
        <v>2</v>
      </c>
      <c r="L10" s="16"/>
      <c r="M10" s="149">
        <v>3</v>
      </c>
    </row>
    <row r="11" spans="2:13" ht="24" customHeight="1" x14ac:dyDescent="0.25">
      <c r="B11" s="132"/>
      <c r="C11" s="152"/>
      <c r="D11" s="153"/>
      <c r="E11" s="154"/>
      <c r="F11" s="22">
        <f ca="1">IF(LEN(INDIRECT(ADDRESS(ROW()-1, COLUMN())))=1,"",INDIRECT(ADDRESS(30,7))-INDIRECT(ADDRESS(30,6)))</f>
        <v>-6</v>
      </c>
      <c r="G11" s="16">
        <f ca="1">IF(LEN(INDIRECT(ADDRESS(ROW()-1, COLUMN())))=1,"",INDIRECT(ADDRESS(34,6))-INDIRECT(ADDRESS(34,7)))</f>
        <v>-12</v>
      </c>
      <c r="H11" s="16">
        <f ca="1">IF(LEN(INDIRECT(ADDRESS(ROW()-1, COLUMN())))=1,"",INDIRECT(ADDRESS(19,7))-INDIRECT(ADDRESS(19,6)))</f>
        <v>3</v>
      </c>
      <c r="I11" s="14" t="s">
        <v>24</v>
      </c>
      <c r="J11" s="17">
        <f ca="1">IF(LEN(INDIRECT(ADDRESS(ROW()-1, COLUMN())))=1,"",INDIRECT(ADDRESS(27,6))-INDIRECT(ADDRESS(27,7)))</f>
        <v>5</v>
      </c>
      <c r="K11" s="151"/>
      <c r="L11" s="16">
        <f ca="1">IF(COUNT(F11:J11)=0,"",SUM(F11:J11))</f>
        <v>-10</v>
      </c>
      <c r="M11" s="149"/>
    </row>
    <row r="12" spans="2:13" ht="24" customHeight="1" x14ac:dyDescent="0.25">
      <c r="B12" s="139">
        <v>5</v>
      </c>
      <c r="C12" s="140" t="s">
        <v>63</v>
      </c>
      <c r="D12" s="141"/>
      <c r="E12" s="142"/>
      <c r="F12" s="12" t="str">
        <f ca="1">INDIRECT(ADDRESS(35,6))&amp;":"&amp;INDIRECT(ADDRESS(35,7))</f>
        <v>10:13</v>
      </c>
      <c r="G12" s="7" t="str">
        <f ca="1">INDIRECT(ADDRESS(18,7))&amp;":"&amp;INDIRECT(ADDRESS(18,6))</f>
        <v>9:13</v>
      </c>
      <c r="H12" s="7" t="str">
        <f ca="1">INDIRECT(ADDRESS(22,6))&amp;":"&amp;INDIRECT(ADDRESS(22,7))</f>
        <v>5:13</v>
      </c>
      <c r="I12" s="7" t="str">
        <f ca="1">INDIRECT(ADDRESS(27,7))&amp;":"&amp;INDIRECT(ADDRESS(27,6))</f>
        <v>8:13</v>
      </c>
      <c r="J12" s="34" t="s">
        <v>24</v>
      </c>
      <c r="K12" s="151">
        <f ca="1">IF(COUNT(F13:J13)=0,"",COUNTIF(F13:J13,"&gt;0")+0.5*COUNTIF(F13:J13,0))</f>
        <v>0</v>
      </c>
      <c r="L12" s="16"/>
      <c r="M12" s="149">
        <v>5</v>
      </c>
    </row>
    <row r="13" spans="2:13" ht="24" customHeight="1" thickBot="1" x14ac:dyDescent="0.3">
      <c r="B13" s="143"/>
      <c r="C13" s="144"/>
      <c r="D13" s="145"/>
      <c r="E13" s="146"/>
      <c r="F13" s="19">
        <f ca="1">IF(LEN(INDIRECT(ADDRESS(ROW()-1, COLUMN())))=1,"",INDIRECT(ADDRESS(35,6))-INDIRECT(ADDRESS(35,7)))</f>
        <v>-3</v>
      </c>
      <c r="G13" s="18">
        <f ca="1">IF(LEN(INDIRECT(ADDRESS(ROW()-1, COLUMN())))=1,"",INDIRECT(ADDRESS(18,7))-INDIRECT(ADDRESS(18,6)))</f>
        <v>-4</v>
      </c>
      <c r="H13" s="18">
        <f ca="1">IF(LEN(INDIRECT(ADDRESS(ROW()-1, COLUMN())))=1,"",INDIRECT(ADDRESS(22,6))-INDIRECT(ADDRESS(22,7)))</f>
        <v>-8</v>
      </c>
      <c r="I13" s="18">
        <f ca="1">IF(LEN(INDIRECT(ADDRESS(ROW()-1, COLUMN())))=1,"",INDIRECT(ADDRESS(27,7))-INDIRECT(ADDRESS(27,6)))</f>
        <v>-5</v>
      </c>
      <c r="J13" s="15" t="s">
        <v>24</v>
      </c>
      <c r="K13" s="156"/>
      <c r="L13" s="18">
        <f ca="1">IF(COUNT(F13:J13)=0,"",SUM(F13:J13))</f>
        <v>-20</v>
      </c>
      <c r="M13" s="155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30" customHeight="1" thickBot="1" x14ac:dyDescent="0.4">
      <c r="A17" s="35"/>
      <c r="B17" s="147" t="s">
        <v>4</v>
      </c>
      <c r="C17" s="147"/>
      <c r="D17" s="147"/>
      <c r="E17" s="147"/>
      <c r="F17" s="147"/>
      <c r="G17" s="147"/>
      <c r="H17" s="147"/>
      <c r="I17" s="147"/>
      <c r="J17" s="147"/>
      <c r="K17" s="147"/>
      <c r="M17" s="56"/>
    </row>
    <row r="18" spans="1:13" s="36" customFormat="1" ht="30" customHeight="1" thickBot="1" x14ac:dyDescent="0.4">
      <c r="A18" s="35"/>
      <c r="B18" s="37">
        <v>2</v>
      </c>
      <c r="C18" s="124" t="str">
        <f ca="1">IF(ISBLANK(INDIRECT(ADDRESS(B18*2+2,3))),"",INDIRECT(ADDRESS(B18*2+2,3)))</f>
        <v>Пелевин Андрей</v>
      </c>
      <c r="D18" s="124"/>
      <c r="E18" s="125"/>
      <c r="F18" s="38">
        <v>13</v>
      </c>
      <c r="G18" s="39">
        <v>9</v>
      </c>
      <c r="H18" s="126" t="str">
        <f ca="1">IF(ISBLANK(INDIRECT(ADDRESS(K18*2+2,3))),"",INDIRECT(ADDRESS(K18*2+2,3)))</f>
        <v>Тиханов Виктор</v>
      </c>
      <c r="I18" s="124"/>
      <c r="J18" s="124"/>
      <c r="K18" s="37">
        <v>5</v>
      </c>
      <c r="L18" s="40" t="s">
        <v>10</v>
      </c>
      <c r="M18" s="53"/>
    </row>
    <row r="19" spans="1:13" s="36" customFormat="1" ht="30" customHeight="1" thickBot="1" x14ac:dyDescent="0.4">
      <c r="A19" s="35"/>
      <c r="B19" s="37">
        <v>3</v>
      </c>
      <c r="C19" s="124" t="str">
        <f ca="1">IF(ISBLANK(INDIRECT(ADDRESS(B19*2+2,3))),"",INDIRECT(ADDRESS(B19*2+2,3)))</f>
        <v>Елсаков Сергей</v>
      </c>
      <c r="D19" s="124"/>
      <c r="E19" s="125"/>
      <c r="F19" s="38">
        <v>10</v>
      </c>
      <c r="G19" s="39">
        <v>13</v>
      </c>
      <c r="H19" s="126" t="str">
        <f ca="1">IF(ISBLANK(INDIRECT(ADDRESS(K19*2+2,3))),"",INDIRECT(ADDRESS(K19*2+2,3)))</f>
        <v>Гаркавый Вадим</v>
      </c>
      <c r="I19" s="124"/>
      <c r="J19" s="124"/>
      <c r="K19" s="37">
        <v>4</v>
      </c>
      <c r="L19" s="40" t="s">
        <v>10</v>
      </c>
      <c r="M19" s="53"/>
    </row>
    <row r="20" spans="1:13" s="36" customFormat="1" ht="30" customHeight="1" x14ac:dyDescent="0.35">
      <c r="A20" s="35"/>
      <c r="M20" s="41"/>
    </row>
    <row r="21" spans="1:13" s="36" customFormat="1" ht="30" customHeight="1" thickBot="1" x14ac:dyDescent="0.4">
      <c r="A21" s="35"/>
      <c r="B21" s="147" t="s">
        <v>5</v>
      </c>
      <c r="C21" s="147"/>
      <c r="D21" s="147"/>
      <c r="E21" s="147"/>
      <c r="F21" s="147"/>
      <c r="G21" s="147"/>
      <c r="H21" s="147"/>
      <c r="I21" s="147"/>
      <c r="J21" s="147"/>
      <c r="K21" s="147"/>
      <c r="M21" s="41"/>
    </row>
    <row r="22" spans="1:13" s="36" customFormat="1" ht="30" customHeight="1" thickBot="1" x14ac:dyDescent="0.4">
      <c r="A22" s="35"/>
      <c r="B22" s="37">
        <v>5</v>
      </c>
      <c r="C22" s="124" t="str">
        <f ca="1">IF(ISBLANK(INDIRECT(ADDRESS(B22*2+2,3))),"",INDIRECT(ADDRESS(B22*2+2,3)))</f>
        <v>Тиханов Виктор</v>
      </c>
      <c r="D22" s="124"/>
      <c r="E22" s="125"/>
      <c r="F22" s="38">
        <v>5</v>
      </c>
      <c r="G22" s="39">
        <v>13</v>
      </c>
      <c r="H22" s="126" t="str">
        <f ca="1">IF(ISBLANK(INDIRECT(ADDRESS(K22*2+2,3))),"",INDIRECT(ADDRESS(K22*2+2,3)))</f>
        <v>Елсаков Сергей</v>
      </c>
      <c r="I22" s="124"/>
      <c r="J22" s="124"/>
      <c r="K22" s="37">
        <v>3</v>
      </c>
      <c r="L22" s="40" t="s">
        <v>10</v>
      </c>
      <c r="M22" s="53"/>
    </row>
    <row r="23" spans="1:13" s="36" customFormat="1" ht="30" customHeight="1" thickBot="1" x14ac:dyDescent="0.4">
      <c r="A23" s="35"/>
      <c r="B23" s="37">
        <v>1</v>
      </c>
      <c r="C23" s="124" t="str">
        <f ca="1">IF(ISBLANK(INDIRECT(ADDRESS(B23*2+2,3))),"",INDIRECT(ADDRESS(B23*2+2,3)))</f>
        <v>Большаков Василий</v>
      </c>
      <c r="D23" s="124"/>
      <c r="E23" s="125"/>
      <c r="F23" s="38">
        <v>13</v>
      </c>
      <c r="G23" s="39">
        <v>2</v>
      </c>
      <c r="H23" s="126" t="str">
        <f ca="1">IF(ISBLANK(INDIRECT(ADDRESS(K23*2+2,3))),"",INDIRECT(ADDRESS(K23*2+2,3)))</f>
        <v>Пелевин Андрей</v>
      </c>
      <c r="I23" s="124"/>
      <c r="J23" s="124"/>
      <c r="K23" s="37">
        <v>2</v>
      </c>
      <c r="L23" s="40" t="s">
        <v>10</v>
      </c>
      <c r="M23" s="53"/>
    </row>
    <row r="24" spans="1:13" s="36" customFormat="1" ht="30" customHeight="1" x14ac:dyDescent="0.35">
      <c r="A24" s="35"/>
      <c r="M24" s="41"/>
    </row>
    <row r="25" spans="1:13" s="36" customFormat="1" ht="30" customHeight="1" thickBot="1" x14ac:dyDescent="0.4">
      <c r="A25" s="35"/>
      <c r="B25" s="147" t="s">
        <v>6</v>
      </c>
      <c r="C25" s="147"/>
      <c r="D25" s="147"/>
      <c r="E25" s="147"/>
      <c r="F25" s="147"/>
      <c r="G25" s="147"/>
      <c r="H25" s="147"/>
      <c r="I25" s="147"/>
      <c r="J25" s="147"/>
      <c r="K25" s="147"/>
      <c r="M25" s="41"/>
    </row>
    <row r="26" spans="1:13" s="36" customFormat="1" ht="30" customHeight="1" thickBot="1" x14ac:dyDescent="0.4">
      <c r="A26" s="35"/>
      <c r="B26" s="37">
        <v>3</v>
      </c>
      <c r="C26" s="124" t="str">
        <f ca="1">IF(ISBLANK(INDIRECT(ADDRESS(B26*2+2,3))),"",INDIRECT(ADDRESS(B26*2+2,3)))</f>
        <v>Елсаков Сергей</v>
      </c>
      <c r="D26" s="124"/>
      <c r="E26" s="125"/>
      <c r="F26" s="38">
        <v>3</v>
      </c>
      <c r="G26" s="39">
        <v>13</v>
      </c>
      <c r="H26" s="126" t="str">
        <f ca="1">IF(ISBLANK(INDIRECT(ADDRESS(K26*2+2,3))),"",INDIRECT(ADDRESS(K26*2+2,3)))</f>
        <v>Большаков Василий</v>
      </c>
      <c r="I26" s="124"/>
      <c r="J26" s="124"/>
      <c r="K26" s="37">
        <v>1</v>
      </c>
      <c r="L26" s="40" t="s">
        <v>10</v>
      </c>
      <c r="M26" s="53"/>
    </row>
    <row r="27" spans="1:13" s="36" customFormat="1" ht="30" customHeight="1" thickBot="1" x14ac:dyDescent="0.4">
      <c r="A27" s="35"/>
      <c r="B27" s="37">
        <v>4</v>
      </c>
      <c r="C27" s="124" t="str">
        <f ca="1">IF(ISBLANK(INDIRECT(ADDRESS(B27*2+2,3))),"",INDIRECT(ADDRESS(B27*2+2,3)))</f>
        <v>Гаркавый Вадим</v>
      </c>
      <c r="D27" s="124"/>
      <c r="E27" s="125"/>
      <c r="F27" s="38">
        <v>13</v>
      </c>
      <c r="G27" s="39">
        <v>8</v>
      </c>
      <c r="H27" s="126" t="str">
        <f ca="1">IF(ISBLANK(INDIRECT(ADDRESS(K27*2+2,3))),"",INDIRECT(ADDRESS(K27*2+2,3)))</f>
        <v>Тиханов Виктор</v>
      </c>
      <c r="I27" s="124"/>
      <c r="J27" s="124"/>
      <c r="K27" s="37">
        <v>5</v>
      </c>
      <c r="L27" s="40" t="s">
        <v>10</v>
      </c>
      <c r="M27" s="53"/>
    </row>
    <row r="28" spans="1:13" s="36" customFormat="1" ht="30" customHeight="1" x14ac:dyDescent="0.35">
      <c r="A28" s="35"/>
      <c r="M28" s="41"/>
    </row>
    <row r="29" spans="1:13" s="36" customFormat="1" ht="30" customHeight="1" thickBot="1" x14ac:dyDescent="0.4">
      <c r="A29" s="35"/>
      <c r="B29" s="147" t="s">
        <v>7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s="36" customFormat="1" ht="30" customHeight="1" thickBot="1" x14ac:dyDescent="0.4">
      <c r="A30" s="35"/>
      <c r="B30" s="37">
        <v>1</v>
      </c>
      <c r="C30" s="124" t="str">
        <f ca="1">IF(ISBLANK(INDIRECT(ADDRESS(B30*2+2,3))),"",INDIRECT(ADDRESS(B30*2+2,3)))</f>
        <v>Большаков Василий</v>
      </c>
      <c r="D30" s="124"/>
      <c r="E30" s="125"/>
      <c r="F30" s="38">
        <v>13</v>
      </c>
      <c r="G30" s="39">
        <v>7</v>
      </c>
      <c r="H30" s="126" t="str">
        <f ca="1">IF(ISBLANK(INDIRECT(ADDRESS(K30*2+2,3))),"",INDIRECT(ADDRESS(K30*2+2,3)))</f>
        <v>Гаркавый Вадим</v>
      </c>
      <c r="I30" s="124"/>
      <c r="J30" s="124"/>
      <c r="K30" s="37">
        <v>4</v>
      </c>
      <c r="L30" s="40" t="s">
        <v>10</v>
      </c>
      <c r="M30" s="53"/>
    </row>
    <row r="31" spans="1:13" s="36" customFormat="1" ht="30" customHeight="1" thickBot="1" x14ac:dyDescent="0.4">
      <c r="A31" s="35"/>
      <c r="B31" s="37">
        <v>2</v>
      </c>
      <c r="C31" s="124" t="str">
        <f ca="1">IF(ISBLANK(INDIRECT(ADDRESS(B31*2+2,3))),"",INDIRECT(ADDRESS(B31*2+2,3)))</f>
        <v>Пелевин Андрей</v>
      </c>
      <c r="D31" s="124"/>
      <c r="E31" s="125"/>
      <c r="F31" s="38">
        <v>13</v>
      </c>
      <c r="G31" s="39">
        <v>10</v>
      </c>
      <c r="H31" s="126" t="str">
        <f ca="1">IF(ISBLANK(INDIRECT(ADDRESS(K31*2+2,3))),"",INDIRECT(ADDRESS(K31*2+2,3)))</f>
        <v>Елсаков Сергей</v>
      </c>
      <c r="I31" s="124"/>
      <c r="J31" s="124"/>
      <c r="K31" s="37">
        <v>3</v>
      </c>
      <c r="L31" s="40" t="s">
        <v>10</v>
      </c>
      <c r="M31" s="53"/>
    </row>
    <row r="32" spans="1:13" s="36" customFormat="1" ht="30" customHeight="1" x14ac:dyDescent="0.35">
      <c r="A32" s="35"/>
      <c r="M32" s="41"/>
    </row>
    <row r="33" spans="1:13" s="36" customFormat="1" ht="30" customHeight="1" thickBot="1" x14ac:dyDescent="0.4">
      <c r="A33" s="35"/>
      <c r="B33" s="147" t="s">
        <v>8</v>
      </c>
      <c r="C33" s="147"/>
      <c r="D33" s="147"/>
      <c r="E33" s="147"/>
      <c r="F33" s="147"/>
      <c r="G33" s="147"/>
      <c r="H33" s="147"/>
      <c r="I33" s="147"/>
      <c r="J33" s="147"/>
      <c r="K33" s="147"/>
      <c r="M33" s="41"/>
    </row>
    <row r="34" spans="1:13" s="36" customFormat="1" ht="30" customHeight="1" thickBot="1" x14ac:dyDescent="0.4">
      <c r="A34" s="35"/>
      <c r="B34" s="37">
        <v>4</v>
      </c>
      <c r="C34" s="124" t="str">
        <f ca="1">IF(ISBLANK(INDIRECT(ADDRESS(B34*2+2,3))),"",INDIRECT(ADDRESS(B34*2+2,3)))</f>
        <v>Гаркавый Вадим</v>
      </c>
      <c r="D34" s="124"/>
      <c r="E34" s="125"/>
      <c r="F34" s="38">
        <v>1</v>
      </c>
      <c r="G34" s="39">
        <v>13</v>
      </c>
      <c r="H34" s="126" t="str">
        <f ca="1">IF(ISBLANK(INDIRECT(ADDRESS(K34*2+2,3))),"",INDIRECT(ADDRESS(K34*2+2,3)))</f>
        <v>Пелевин Андрей</v>
      </c>
      <c r="I34" s="124"/>
      <c r="J34" s="124"/>
      <c r="K34" s="37">
        <v>2</v>
      </c>
      <c r="L34" s="40" t="s">
        <v>10</v>
      </c>
      <c r="M34" s="53"/>
    </row>
    <row r="35" spans="1:13" s="36" customFormat="1" ht="30" customHeight="1" thickBot="1" x14ac:dyDescent="0.4">
      <c r="A35" s="35"/>
      <c r="B35" s="37">
        <v>5</v>
      </c>
      <c r="C35" s="124" t="str">
        <f ca="1">IF(ISBLANK(INDIRECT(ADDRESS(B35*2+2,3))),"",INDIRECT(ADDRESS(B35*2+2,3)))</f>
        <v>Тиханов Виктор</v>
      </c>
      <c r="D35" s="124"/>
      <c r="E35" s="125"/>
      <c r="F35" s="38">
        <v>10</v>
      </c>
      <c r="G35" s="39">
        <v>13</v>
      </c>
      <c r="H35" s="126" t="str">
        <f ca="1">IF(ISBLANK(INDIRECT(ADDRESS(K35*2+2,3))),"",INDIRECT(ADDRESS(K35*2+2,3)))</f>
        <v>Большаков Василий</v>
      </c>
      <c r="I35" s="124"/>
      <c r="J35" s="124"/>
      <c r="K35" s="37">
        <v>1</v>
      </c>
      <c r="L35" s="40" t="s">
        <v>10</v>
      </c>
      <c r="M35" s="53"/>
    </row>
  </sheetData>
  <mergeCells count="47">
    <mergeCell ref="H34:J34"/>
    <mergeCell ref="B29:K29"/>
    <mergeCell ref="C30:E30"/>
    <mergeCell ref="H30:J30"/>
    <mergeCell ref="C31:E31"/>
    <mergeCell ref="H31:J31"/>
    <mergeCell ref="B33:K33"/>
    <mergeCell ref="M12:M13"/>
    <mergeCell ref="K10:K11"/>
    <mergeCell ref="K12:K13"/>
    <mergeCell ref="C23:E23"/>
    <mergeCell ref="H23:J23"/>
    <mergeCell ref="C22:E22"/>
    <mergeCell ref="H22:J22"/>
    <mergeCell ref="B17:K17"/>
    <mergeCell ref="C18:E18"/>
    <mergeCell ref="H18:J18"/>
    <mergeCell ref="C19:E19"/>
    <mergeCell ref="H19:J19"/>
    <mergeCell ref="B21:K21"/>
    <mergeCell ref="M8:M9"/>
    <mergeCell ref="K6:K7"/>
    <mergeCell ref="K8:K9"/>
    <mergeCell ref="B10:B11"/>
    <mergeCell ref="C10:E11"/>
    <mergeCell ref="M10:M11"/>
    <mergeCell ref="M4:M5"/>
    <mergeCell ref="K4:K5"/>
    <mergeCell ref="B6:B7"/>
    <mergeCell ref="C6:E7"/>
    <mergeCell ref="M6:M7"/>
    <mergeCell ref="C35:E35"/>
    <mergeCell ref="H35:J35"/>
    <mergeCell ref="B1:K1"/>
    <mergeCell ref="C3:E3"/>
    <mergeCell ref="B4:B5"/>
    <mergeCell ref="C4:E5"/>
    <mergeCell ref="B8:B9"/>
    <mergeCell ref="C8:E9"/>
    <mergeCell ref="B12:B13"/>
    <mergeCell ref="C12:E13"/>
    <mergeCell ref="H27:J27"/>
    <mergeCell ref="C27:E27"/>
    <mergeCell ref="B25:K25"/>
    <mergeCell ref="C26:E26"/>
    <mergeCell ref="H26:J26"/>
    <mergeCell ref="C34:E34"/>
  </mergeCells>
  <printOptions horizontalCentered="1"/>
  <pageMargins left="0.31496062992125984" right="0.31496062992125984" top="0.35433070866141736" bottom="0.55118110236220474" header="0.31496062992125984" footer="0.31496062992125984"/>
  <pageSetup paperSize="9" scale="53" orientation="portrait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8" sqref="C8:E9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59.25" customHeight="1" x14ac:dyDescent="0.25">
      <c r="B1" s="127" t="s">
        <v>75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18</v>
      </c>
      <c r="M1"/>
      <c r="N1" s="31">
        <v>46040</v>
      </c>
    </row>
    <row r="2" spans="2:14" ht="15.75" thickBot="1" x14ac:dyDescent="0.3">
      <c r="M2"/>
    </row>
    <row r="3" spans="2:14" ht="30" customHeight="1" thickBot="1" x14ac:dyDescent="0.3">
      <c r="B3" s="55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31">
        <v>1</v>
      </c>
      <c r="C4" s="133" t="s">
        <v>122</v>
      </c>
      <c r="D4" s="134"/>
      <c r="E4" s="135"/>
      <c r="F4" s="10" t="s">
        <v>24</v>
      </c>
      <c r="G4" s="6" t="str">
        <f ca="1">INDIRECT(ADDRESS(27,6))&amp;":"&amp;INDIRECT(ADDRESS(27,7))</f>
        <v>13:9</v>
      </c>
      <c r="H4" s="6" t="str">
        <f ca="1">INDIRECT(ADDRESS(31,7))&amp;":"&amp;INDIRECT(ADDRESS(31,6))</f>
        <v>13:7</v>
      </c>
      <c r="I4" s="6" t="str">
        <f ca="1">INDIRECT(ADDRESS(36,6))&amp;":"&amp;INDIRECT(ADDRESS(36,7))</f>
        <v>13:3</v>
      </c>
      <c r="J4" s="6" t="str">
        <f ca="1">INDIRECT(ADDRESS(42,7))&amp;":"&amp;INDIRECT(ADDRESS(42,6))</f>
        <v>13:4</v>
      </c>
      <c r="K4" s="20" t="str">
        <f ca="1">INDIRECT(ADDRESS(20,6))&amp;":"&amp;INDIRECT(ADDRESS(20,7))</f>
        <v>13:0</v>
      </c>
      <c r="L4" s="244">
        <f ca="1">IF(COUNT(F5:K5)=0,"",COUNTIF(F5:K5,"&gt;0")+0.5*COUNTIF(F5:K5,0))</f>
        <v>5</v>
      </c>
      <c r="M4" s="23"/>
      <c r="N4" s="219">
        <v>1</v>
      </c>
    </row>
    <row r="5" spans="2:14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COLUMN())))=1,"",INDIRECT(ADDRESS(27,6))-INDIRECT(ADDRESS(27,7)))</f>
        <v>4</v>
      </c>
      <c r="H5" s="16">
        <f ca="1">IF(LEN(INDIRECT(ADDRESS(ROW()-1, COLUMN())))=1,"",INDIRECT(ADDRESS(31,7))-INDIRECT(ADDRESS(31,6)))</f>
        <v>6</v>
      </c>
      <c r="I5" s="16">
        <f ca="1">IF(LEN(INDIRECT(ADDRESS(ROW()-1, COLUMN())))=1,"",INDIRECT(ADDRESS(36,6))-INDIRECT(ADDRESS(36,7)))</f>
        <v>10</v>
      </c>
      <c r="J5" s="16">
        <f ca="1">IF(LEN(INDIRECT(ADDRESS(ROW()-1, COLUMN())))=1,"",INDIRECT(ADDRESS(42,7))-INDIRECT(ADDRESS(42,6)))</f>
        <v>9</v>
      </c>
      <c r="K5" s="17">
        <f ca="1">IF(LEN(INDIRECT(ADDRESS(ROW()-1, COLUMN())))=1,"",INDIRECT(ADDRESS(20,6))-INDIRECT(ADDRESS(20,7)))</f>
        <v>13</v>
      </c>
      <c r="L5" s="245"/>
      <c r="M5" s="16">
        <f ca="1">IF(COUNT(F5:K5)=0,"",SUM(F5:K5))</f>
        <v>42</v>
      </c>
      <c r="N5" s="221"/>
    </row>
    <row r="6" spans="2:14" ht="24" customHeight="1" x14ac:dyDescent="0.25">
      <c r="B6" s="139">
        <v>2</v>
      </c>
      <c r="C6" s="152" t="s">
        <v>123</v>
      </c>
      <c r="D6" s="153"/>
      <c r="E6" s="154"/>
      <c r="F6" s="12" t="str">
        <f ca="1">INDIRECT(ADDRESS(27,7))&amp;":"&amp;INDIRECT(ADDRESS(27,6))</f>
        <v>9:13</v>
      </c>
      <c r="G6" s="8" t="s">
        <v>24</v>
      </c>
      <c r="H6" s="7" t="str">
        <f ca="1">INDIRECT(ADDRESS(37,6))&amp;":"&amp;INDIRECT(ADDRESS(37,7))</f>
        <v>1:13</v>
      </c>
      <c r="I6" s="7" t="str">
        <f ca="1">INDIRECT(ADDRESS(41,7))&amp;":"&amp;INDIRECT(ADDRESS(41,6))</f>
        <v>13:5</v>
      </c>
      <c r="J6" s="7" t="str">
        <f ca="1">INDIRECT(ADDRESS(21,6))&amp;":"&amp;INDIRECT(ADDRESS(21,7))</f>
        <v>13:2</v>
      </c>
      <c r="K6" s="11" t="str">
        <f ca="1">INDIRECT(ADDRESS(30,6))&amp;":"&amp;INDIRECT(ADDRESS(30,7))</f>
        <v>13:6</v>
      </c>
      <c r="L6" s="245">
        <f ca="1">IF(COUNT(F7:K7)=0,"",COUNTIF(F7:K7,"&gt;0")+0.5*COUNTIF(F7:K7,0))</f>
        <v>3</v>
      </c>
      <c r="M6" s="16"/>
      <c r="N6" s="246">
        <v>3</v>
      </c>
    </row>
    <row r="7" spans="2:14" ht="24" customHeight="1" x14ac:dyDescent="0.25">
      <c r="B7" s="132"/>
      <c r="C7" s="152"/>
      <c r="D7" s="153"/>
      <c r="E7" s="154"/>
      <c r="F7" s="22">
        <f ca="1">IF(LEN(INDIRECT(ADDRESS(ROW()-1, COLUMN())))=1,"",INDIRECT(ADDRESS(27,7))-INDIRECT(ADDRESS(27,6)))</f>
        <v>-4</v>
      </c>
      <c r="G7" s="14" t="s">
        <v>24</v>
      </c>
      <c r="H7" s="16">
        <f ca="1">IF(LEN(INDIRECT(ADDRESS(ROW()-1, COLUMN())))=1,"",INDIRECT(ADDRESS(37,6))-INDIRECT(ADDRESS(37,7)))</f>
        <v>-12</v>
      </c>
      <c r="I7" s="16">
        <f ca="1">IF(LEN(INDIRECT(ADDRESS(ROW()-1, COLUMN())))=1,"",INDIRECT(ADDRESS(41,7))-INDIRECT(ADDRESS(41,6)))</f>
        <v>8</v>
      </c>
      <c r="J7" s="16">
        <f ca="1">IF(LEN(INDIRECT(ADDRESS(ROW()-1, COLUMN())))=1,"",INDIRECT(ADDRESS(21,6))-INDIRECT(ADDRESS(21,7)))</f>
        <v>11</v>
      </c>
      <c r="K7" s="17">
        <f ca="1">IF(LEN(INDIRECT(ADDRESS(ROW()-1, COLUMN())))=1,"",INDIRECT(ADDRESS(30,6))-INDIRECT(ADDRESS(30,7)))</f>
        <v>7</v>
      </c>
      <c r="L7" s="245"/>
      <c r="M7" s="16">
        <f ca="1">IF(COUNT(F7:K7)=0,"",SUM(F7:K7))</f>
        <v>10</v>
      </c>
      <c r="N7" s="221"/>
    </row>
    <row r="8" spans="2:14" ht="24" customHeight="1" x14ac:dyDescent="0.25">
      <c r="B8" s="139">
        <v>3</v>
      </c>
      <c r="C8" s="136" t="s">
        <v>124</v>
      </c>
      <c r="D8" s="137"/>
      <c r="E8" s="138"/>
      <c r="F8" s="12" t="str">
        <f ca="1">INDIRECT(ADDRESS(31,6))&amp;":"&amp;INDIRECT(ADDRESS(31,7))</f>
        <v>7:13</v>
      </c>
      <c r="G8" s="7" t="str">
        <f ca="1">INDIRECT(ADDRESS(37,7))&amp;":"&amp;INDIRECT(ADDRESS(37,6))</f>
        <v>13:1</v>
      </c>
      <c r="H8" s="8" t="s">
        <v>24</v>
      </c>
      <c r="I8" s="7" t="str">
        <f ca="1">INDIRECT(ADDRESS(22,6))&amp;":"&amp;INDIRECT(ADDRESS(22,7))</f>
        <v>13:9</v>
      </c>
      <c r="J8" s="7" t="str">
        <f ca="1">INDIRECT(ADDRESS(26,7))&amp;":"&amp;INDIRECT(ADDRESS(26,6))</f>
        <v>10:13</v>
      </c>
      <c r="K8" s="11" t="str">
        <f ca="1">INDIRECT(ADDRESS(40,6))&amp;":"&amp;INDIRECT(ADDRESS(40,7))</f>
        <v>13:5</v>
      </c>
      <c r="L8" s="245">
        <f ca="1">IF(COUNT(F9:K9)=0,"",COUNTIF(F9:K9,"&gt;0")+0.5*COUNTIF(F9:K9,0))</f>
        <v>3</v>
      </c>
      <c r="M8" s="16"/>
      <c r="N8" s="246">
        <v>2</v>
      </c>
    </row>
    <row r="9" spans="2:14" ht="24" customHeight="1" x14ac:dyDescent="0.25">
      <c r="B9" s="132"/>
      <c r="C9" s="136"/>
      <c r="D9" s="137"/>
      <c r="E9" s="138"/>
      <c r="F9" s="22">
        <f ca="1">IF(LEN(INDIRECT(ADDRESS(ROW()-1, COLUMN())))=1,"",INDIRECT(ADDRESS(31,6))-INDIRECT(ADDRESS(31,7)))</f>
        <v>-6</v>
      </c>
      <c r="G9" s="16">
        <f ca="1">IF(LEN(INDIRECT(ADDRESS(ROW()-1, COLUMN())))=1,"",INDIRECT(ADDRESS(37,7))-INDIRECT(ADDRESS(37,6)))</f>
        <v>12</v>
      </c>
      <c r="H9" s="14" t="s">
        <v>24</v>
      </c>
      <c r="I9" s="16">
        <f ca="1">IF(LEN(INDIRECT(ADDRESS(ROW()-1, COLUMN())))=1,"",INDIRECT(ADDRESS(22,6))-INDIRECT(ADDRESS(22,7)))</f>
        <v>4</v>
      </c>
      <c r="J9" s="16">
        <f ca="1">IF(LEN(INDIRECT(ADDRESS(ROW()-1, COLUMN())))=1,"",INDIRECT(ADDRESS(26,7))-INDIRECT(ADDRESS(26,6)))</f>
        <v>-3</v>
      </c>
      <c r="K9" s="17">
        <f ca="1">IF(LEN(INDIRECT(ADDRESS(ROW()-1, COLUMN())))=1,"",INDIRECT(ADDRESS(40,6))-INDIRECT(ADDRESS(40,7)))</f>
        <v>8</v>
      </c>
      <c r="L9" s="245"/>
      <c r="M9" s="16">
        <f ca="1">IF(COUNT(F9:K9)=0,"",SUM(F9:K9))</f>
        <v>15</v>
      </c>
      <c r="N9" s="221"/>
    </row>
    <row r="10" spans="2:14" ht="24" customHeight="1" x14ac:dyDescent="0.25">
      <c r="B10" s="139">
        <v>4</v>
      </c>
      <c r="C10" s="140" t="s">
        <v>125</v>
      </c>
      <c r="D10" s="141"/>
      <c r="E10" s="142"/>
      <c r="F10" s="12" t="str">
        <f ca="1">INDIRECT(ADDRESS(36,7))&amp;":"&amp;INDIRECT(ADDRESS(36,6))</f>
        <v>3:13</v>
      </c>
      <c r="G10" s="7" t="str">
        <f ca="1">INDIRECT(ADDRESS(41,6))&amp;":"&amp;INDIRECT(ADDRESS(41,7))</f>
        <v>5:13</v>
      </c>
      <c r="H10" s="7" t="str">
        <f ca="1">INDIRECT(ADDRESS(22,7))&amp;":"&amp;INDIRECT(ADDRESS(22,6))</f>
        <v>9:13</v>
      </c>
      <c r="I10" s="8" t="s">
        <v>24</v>
      </c>
      <c r="J10" s="7" t="str">
        <f ca="1">INDIRECT(ADDRESS(32,6))&amp;":"&amp;INDIRECT(ADDRESS(32,7))</f>
        <v>13:6</v>
      </c>
      <c r="K10" s="11" t="str">
        <f ca="1">INDIRECT(ADDRESS(25,7))&amp;":"&amp;INDIRECT(ADDRESS(25,6))</f>
        <v>13:12</v>
      </c>
      <c r="L10" s="245">
        <f ca="1">IF(COUNT(F11:K11)=0,"",COUNTIF(F11:K11,"&gt;0")+0.5*COUNTIF(F11:K11,0))</f>
        <v>2</v>
      </c>
      <c r="M10" s="16"/>
      <c r="N10" s="246">
        <v>4</v>
      </c>
    </row>
    <row r="11" spans="2:14" ht="24" customHeight="1" x14ac:dyDescent="0.25">
      <c r="B11" s="132"/>
      <c r="C11" s="140"/>
      <c r="D11" s="141"/>
      <c r="E11" s="142"/>
      <c r="F11" s="22">
        <f ca="1">IF(LEN(INDIRECT(ADDRESS(ROW()-1, COLUMN())))=1,"",INDIRECT(ADDRESS(36,7))-INDIRECT(ADDRESS(36,6)))</f>
        <v>-10</v>
      </c>
      <c r="G11" s="16">
        <f ca="1">IF(LEN(INDIRECT(ADDRESS(ROW()-1, COLUMN())))=1,"",INDIRECT(ADDRESS(41,6))-INDIRECT(ADDRESS(41,7)))</f>
        <v>-8</v>
      </c>
      <c r="H11" s="16">
        <f ca="1">IF(LEN(INDIRECT(ADDRESS(ROW()-1, COLUMN())))=1,"",INDIRECT(ADDRESS(22,7))-INDIRECT(ADDRESS(22,6)))</f>
        <v>-4</v>
      </c>
      <c r="I11" s="14" t="s">
        <v>24</v>
      </c>
      <c r="J11" s="16">
        <f ca="1">IF(LEN(INDIRECT(ADDRESS(ROW()-1, COLUMN())))=1,"",INDIRECT(ADDRESS(32,6))-INDIRECT(ADDRESS(32,7)))</f>
        <v>7</v>
      </c>
      <c r="K11" s="17">
        <f ca="1">IF(LEN(INDIRECT(ADDRESS(ROW()-1, COLUMN())))=1,"",INDIRECT(ADDRESS(25,7))-INDIRECT(ADDRESS(25,6)))</f>
        <v>1</v>
      </c>
      <c r="L11" s="245"/>
      <c r="M11" s="16">
        <f ca="1">IF(COUNT(F11:K11)=0,"",SUM(F11:K11))</f>
        <v>-14</v>
      </c>
      <c r="N11" s="221"/>
    </row>
    <row r="12" spans="2:14" ht="24" customHeight="1" x14ac:dyDescent="0.25">
      <c r="B12" s="139">
        <v>5</v>
      </c>
      <c r="C12" s="140" t="s">
        <v>126</v>
      </c>
      <c r="D12" s="141"/>
      <c r="E12" s="142"/>
      <c r="F12" s="12" t="str">
        <f ca="1">INDIRECT(ADDRESS(42,6))&amp;":"&amp;INDIRECT(ADDRESS(42,7))</f>
        <v>4:13</v>
      </c>
      <c r="G12" s="7" t="str">
        <f ca="1">INDIRECT(ADDRESS(21,7))&amp;":"&amp;INDIRECT(ADDRESS(21,6))</f>
        <v>2:13</v>
      </c>
      <c r="H12" s="7" t="str">
        <f ca="1">INDIRECT(ADDRESS(26,6))&amp;":"&amp;INDIRECT(ADDRESS(26,7))</f>
        <v>13:10</v>
      </c>
      <c r="I12" s="7" t="str">
        <f ca="1">INDIRECT(ADDRESS(32,7))&amp;":"&amp;INDIRECT(ADDRESS(32,6))</f>
        <v>6:13</v>
      </c>
      <c r="J12" s="8" t="s">
        <v>24</v>
      </c>
      <c r="K12" s="11" t="str">
        <f ca="1">INDIRECT(ADDRESS(35,7))&amp;":"&amp;INDIRECT(ADDRESS(35,6))</f>
        <v>13:9</v>
      </c>
      <c r="L12" s="245">
        <f ca="1">IF(COUNT(F13:K13)=0,"",COUNTIF(F13:K13,"&gt;0")+0.5*COUNTIF(F13:K13,0))</f>
        <v>2</v>
      </c>
      <c r="M12" s="16"/>
      <c r="N12" s="246">
        <v>5</v>
      </c>
    </row>
    <row r="13" spans="2:14" ht="24" customHeight="1" x14ac:dyDescent="0.25">
      <c r="B13" s="132"/>
      <c r="C13" s="140"/>
      <c r="D13" s="141"/>
      <c r="E13" s="142"/>
      <c r="F13" s="22">
        <f ca="1">IF(LEN(INDIRECT(ADDRESS(ROW()-1, COLUMN())))=1,"",INDIRECT(ADDRESS(42,6))-INDIRECT(ADDRESS(42,7)))</f>
        <v>-9</v>
      </c>
      <c r="G13" s="16">
        <f ca="1">IF(LEN(INDIRECT(ADDRESS(ROW()-1, COLUMN())))=1,"",INDIRECT(ADDRESS(21,7))-INDIRECT(ADDRESS(21,6)))</f>
        <v>-11</v>
      </c>
      <c r="H13" s="16">
        <f ca="1">IF(LEN(INDIRECT(ADDRESS(ROW()-1, COLUMN())))=1,"",INDIRECT(ADDRESS(26,6))-INDIRECT(ADDRESS(26,7)))</f>
        <v>3</v>
      </c>
      <c r="I13" s="16">
        <f ca="1">IF(LEN(INDIRECT(ADDRESS(ROW()-1, COLUMN())))=1,"",INDIRECT(ADDRESS(32,7))-INDIRECT(ADDRESS(32,6)))</f>
        <v>-7</v>
      </c>
      <c r="J13" s="14" t="s">
        <v>24</v>
      </c>
      <c r="K13" s="17">
        <f ca="1">IF(LEN(INDIRECT(ADDRESS(ROW()-1, COLUMN())))=1,"",INDIRECT(ADDRESS(35,7))-INDIRECT(ADDRESS(35,6)))</f>
        <v>4</v>
      </c>
      <c r="L13" s="245"/>
      <c r="M13" s="16">
        <f ca="1">IF(COUNT(F13:K13)=0,"",SUM(F13:K13))</f>
        <v>-20</v>
      </c>
      <c r="N13" s="221"/>
    </row>
    <row r="14" spans="2:14" ht="24" customHeight="1" x14ac:dyDescent="0.25">
      <c r="B14" s="139">
        <v>6</v>
      </c>
      <c r="C14" s="140" t="s">
        <v>127</v>
      </c>
      <c r="D14" s="141"/>
      <c r="E14" s="142"/>
      <c r="F14" s="12" t="str">
        <f ca="1">INDIRECT(ADDRESS(20,7))&amp;":"&amp;INDIRECT(ADDRESS(20,6))</f>
        <v>0:13</v>
      </c>
      <c r="G14" s="7" t="str">
        <f ca="1">INDIRECT(ADDRESS(30,7))&amp;":"&amp;INDIRECT(ADDRESS(30,6))</f>
        <v>6:13</v>
      </c>
      <c r="H14" s="7" t="str">
        <f ca="1">INDIRECT(ADDRESS(40,7))&amp;":"&amp;INDIRECT(ADDRESS(40,6))</f>
        <v>5:13</v>
      </c>
      <c r="I14" s="7" t="str">
        <f ca="1">INDIRECT(ADDRESS(25,6))&amp;":"&amp;INDIRECT(ADDRESS(25,7))</f>
        <v>12:13</v>
      </c>
      <c r="J14" s="7" t="str">
        <f ca="1">INDIRECT(ADDRESS(35,6))&amp;":"&amp;INDIRECT(ADDRESS(35,7))</f>
        <v>9:13</v>
      </c>
      <c r="K14" s="34" t="s">
        <v>24</v>
      </c>
      <c r="L14" s="245">
        <f ca="1">IF(COUNT(F15:K15)=0,"",COUNTIF(F15:K15,"&gt;0")+0.5*COUNTIF(F15:K15,0))</f>
        <v>0</v>
      </c>
      <c r="M14" s="16"/>
      <c r="N14" s="246">
        <v>6</v>
      </c>
    </row>
    <row r="15" spans="2:14" ht="24" customHeight="1" thickBot="1" x14ac:dyDescent="0.3">
      <c r="B15" s="143"/>
      <c r="C15" s="144"/>
      <c r="D15" s="145"/>
      <c r="E15" s="146"/>
      <c r="F15" s="19">
        <f ca="1">IF(LEN(INDIRECT(ADDRESS(ROW()-1, COLUMN())))=1,"",INDIRECT(ADDRESS(20,7))-INDIRECT(ADDRESS(20,6)))</f>
        <v>-13</v>
      </c>
      <c r="G15" s="18">
        <f ca="1">IF(LEN(INDIRECT(ADDRESS(ROW()-1, COLUMN())))=1,"",INDIRECT(ADDRESS(30,7))-INDIRECT(ADDRESS(30,6)))</f>
        <v>-7</v>
      </c>
      <c r="H15" s="18">
        <f ca="1">IF(LEN(INDIRECT(ADDRESS(ROW()-1, COLUMN())))=1,"",INDIRECT(ADDRESS(40,7))-INDIRECT(ADDRESS(40,6)))</f>
        <v>-8</v>
      </c>
      <c r="I15" s="18">
        <f ca="1">IF(LEN(INDIRECT(ADDRESS(ROW()-1, COLUMN())))=1,"",INDIRECT(ADDRESS(25,6))-INDIRECT(ADDRESS(25,7)))</f>
        <v>-1</v>
      </c>
      <c r="J15" s="18">
        <f ca="1">IF(LEN(INDIRECT(ADDRESS(ROW()-1, COLUMN())))=1,"",INDIRECT(ADDRESS(35,6))-INDIRECT(ADDRESS(35,7)))</f>
        <v>-4</v>
      </c>
      <c r="K15" s="15" t="s">
        <v>24</v>
      </c>
      <c r="L15" s="248"/>
      <c r="M15" s="18">
        <f ca="1">IF(COUNT(F15:K15)=0,"",SUM(F15:K15))</f>
        <v>-33</v>
      </c>
      <c r="N15" s="247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147" t="s">
        <v>4</v>
      </c>
      <c r="C19" s="147"/>
      <c r="D19" s="147"/>
      <c r="E19" s="147"/>
      <c r="F19" s="147"/>
      <c r="G19" s="147"/>
      <c r="H19" s="147"/>
      <c r="I19" s="147"/>
      <c r="J19" s="147"/>
      <c r="K19" s="147"/>
      <c r="M19"/>
    </row>
    <row r="20" spans="2:13" ht="30" customHeight="1" thickBot="1" x14ac:dyDescent="0.3">
      <c r="B20" s="5">
        <v>1</v>
      </c>
      <c r="C20" s="177" t="str">
        <f ca="1">IF(ISBLANK(INDIRECT(ADDRESS(B20*2+2,3))),"",INDIRECT(ADDRESS(B20*2+2,3)))</f>
        <v>Африканов Андрей</v>
      </c>
      <c r="D20" s="177"/>
      <c r="E20" s="178"/>
      <c r="F20" s="24">
        <v>13</v>
      </c>
      <c r="G20" s="25">
        <v>0</v>
      </c>
      <c r="H20" s="181" t="str">
        <f ca="1">IF(ISBLANK(INDIRECT(ADDRESS(K20*2+2,3))),"",INDIRECT(ADDRESS(K20*2+2,3)))</f>
        <v>Сендеров Александр</v>
      </c>
      <c r="I20" s="177"/>
      <c r="J20" s="177"/>
      <c r="K20" s="5">
        <v>6</v>
      </c>
      <c r="L20" s="27" t="s">
        <v>10</v>
      </c>
      <c r="M20" s="26"/>
    </row>
    <row r="21" spans="2:13" ht="30" customHeight="1" thickBot="1" x14ac:dyDescent="0.3">
      <c r="B21" s="5">
        <v>2</v>
      </c>
      <c r="C21" s="177" t="str">
        <f ca="1">IF(ISBLANK(INDIRECT(ADDRESS(B21*2+2,3))),"",INDIRECT(ADDRESS(B21*2+2,3)))</f>
        <v>Зуир Мустаид</v>
      </c>
      <c r="D21" s="177"/>
      <c r="E21" s="178"/>
      <c r="F21" s="24">
        <v>13</v>
      </c>
      <c r="G21" s="25">
        <v>2</v>
      </c>
      <c r="H21" s="181" t="str">
        <f ca="1">IF(ISBLANK(INDIRECT(ADDRESS(K21*2+2,3))),"",INDIRECT(ADDRESS(K21*2+2,3)))</f>
        <v>Самыко Артем</v>
      </c>
      <c r="I21" s="177"/>
      <c r="J21" s="177"/>
      <c r="K21" s="5">
        <v>5</v>
      </c>
      <c r="L21" s="27" t="s">
        <v>10</v>
      </c>
      <c r="M21" s="26"/>
    </row>
    <row r="22" spans="2:13" ht="30" customHeight="1" thickBot="1" x14ac:dyDescent="0.3">
      <c r="B22" s="5">
        <v>3</v>
      </c>
      <c r="C22" s="177" t="str">
        <f ca="1">IF(ISBLANK(INDIRECT(ADDRESS(B22*2+2,3))),"",INDIRECT(ADDRESS(B22*2+2,3)))</f>
        <v>Анухин Виктор</v>
      </c>
      <c r="D22" s="177"/>
      <c r="E22" s="178"/>
      <c r="F22" s="24">
        <v>13</v>
      </c>
      <c r="G22" s="25">
        <v>9</v>
      </c>
      <c r="H22" s="181" t="str">
        <f ca="1">IF(ISBLANK(INDIRECT(ADDRESS(K22*2+2,3))),"",INDIRECT(ADDRESS(K22*2+2,3)))</f>
        <v>Захаров Владимир</v>
      </c>
      <c r="I22" s="177"/>
      <c r="J22" s="177"/>
      <c r="K22" s="5">
        <v>4</v>
      </c>
      <c r="L22" s="27" t="s">
        <v>10</v>
      </c>
      <c r="M22" s="26"/>
    </row>
    <row r="23" spans="2:13" ht="30" customHeight="1" x14ac:dyDescent="0.25"/>
    <row r="24" spans="2:13" ht="30" customHeight="1" thickBot="1" x14ac:dyDescent="0.3">
      <c r="B24" s="147" t="s">
        <v>5</v>
      </c>
      <c r="C24" s="147"/>
      <c r="D24" s="147"/>
      <c r="E24" s="147"/>
      <c r="F24" s="147"/>
      <c r="G24" s="147"/>
      <c r="H24" s="147"/>
      <c r="I24" s="147"/>
      <c r="J24" s="147"/>
      <c r="K24" s="147"/>
    </row>
    <row r="25" spans="2:13" ht="30" customHeight="1" thickBot="1" x14ac:dyDescent="0.3">
      <c r="B25" s="5">
        <v>6</v>
      </c>
      <c r="C25" s="177" t="str">
        <f ca="1">IF(ISBLANK(INDIRECT(ADDRESS(B25*2+2,3))),"",INDIRECT(ADDRESS(B25*2+2,3)))</f>
        <v>Сендеров Александр</v>
      </c>
      <c r="D25" s="177"/>
      <c r="E25" s="178"/>
      <c r="F25" s="24">
        <v>12</v>
      </c>
      <c r="G25" s="25">
        <v>13</v>
      </c>
      <c r="H25" s="181" t="str">
        <f ca="1">IF(ISBLANK(INDIRECT(ADDRESS(K25*2+2,3))),"",INDIRECT(ADDRESS(K25*2+2,3)))</f>
        <v>Захаров Владимир</v>
      </c>
      <c r="I25" s="177"/>
      <c r="J25" s="177"/>
      <c r="K25" s="5">
        <v>4</v>
      </c>
      <c r="L25" s="27" t="s">
        <v>10</v>
      </c>
      <c r="M25" s="26"/>
    </row>
    <row r="26" spans="2:13" ht="30" customHeight="1" thickBot="1" x14ac:dyDescent="0.3">
      <c r="B26" s="5">
        <v>5</v>
      </c>
      <c r="C26" s="177" t="str">
        <f ca="1">IF(ISBLANK(INDIRECT(ADDRESS(B26*2+2,3))),"",INDIRECT(ADDRESS(B26*2+2,3)))</f>
        <v>Самыко Артем</v>
      </c>
      <c r="D26" s="177"/>
      <c r="E26" s="178"/>
      <c r="F26" s="24">
        <v>13</v>
      </c>
      <c r="G26" s="25">
        <v>10</v>
      </c>
      <c r="H26" s="181" t="str">
        <f ca="1">IF(ISBLANK(INDIRECT(ADDRESS(K26*2+2,3))),"",INDIRECT(ADDRESS(K26*2+2,3)))</f>
        <v>Анухин Виктор</v>
      </c>
      <c r="I26" s="177"/>
      <c r="J26" s="177"/>
      <c r="K26" s="5">
        <v>3</v>
      </c>
      <c r="L26" s="27" t="s">
        <v>10</v>
      </c>
      <c r="M26" s="26"/>
    </row>
    <row r="27" spans="2:13" ht="30" customHeight="1" thickBot="1" x14ac:dyDescent="0.3">
      <c r="B27" s="5">
        <v>1</v>
      </c>
      <c r="C27" s="177" t="str">
        <f ca="1">IF(ISBLANK(INDIRECT(ADDRESS(B27*2+2,3))),"",INDIRECT(ADDRESS(B27*2+2,3)))</f>
        <v>Африканов Андрей</v>
      </c>
      <c r="D27" s="177"/>
      <c r="E27" s="178"/>
      <c r="F27" s="24">
        <v>13</v>
      </c>
      <c r="G27" s="25">
        <v>9</v>
      </c>
      <c r="H27" s="181" t="str">
        <f ca="1">IF(ISBLANK(INDIRECT(ADDRESS(K27*2+2,3))),"",INDIRECT(ADDRESS(K27*2+2,3)))</f>
        <v>Зуир Мустаид</v>
      </c>
      <c r="I27" s="177"/>
      <c r="J27" s="177"/>
      <c r="K27" s="5">
        <v>2</v>
      </c>
      <c r="L27" s="27" t="s">
        <v>10</v>
      </c>
      <c r="M27" s="26"/>
    </row>
    <row r="28" spans="2:13" ht="30" customHeight="1" x14ac:dyDescent="0.25"/>
    <row r="29" spans="2:13" ht="30" customHeight="1" thickBot="1" x14ac:dyDescent="0.3">
      <c r="B29" s="147" t="s">
        <v>6</v>
      </c>
      <c r="C29" s="147"/>
      <c r="D29" s="147"/>
      <c r="E29" s="147"/>
      <c r="F29" s="147"/>
      <c r="G29" s="147"/>
      <c r="H29" s="147"/>
      <c r="I29" s="147"/>
      <c r="J29" s="147"/>
      <c r="K29" s="147"/>
    </row>
    <row r="30" spans="2:13" ht="30" customHeight="1" thickBot="1" x14ac:dyDescent="0.3">
      <c r="B30" s="5">
        <v>2</v>
      </c>
      <c r="C30" s="177" t="str">
        <f ca="1">IF(ISBLANK(INDIRECT(ADDRESS(B30*2+2,3))),"",INDIRECT(ADDRESS(B30*2+2,3)))</f>
        <v>Зуир Мустаид</v>
      </c>
      <c r="D30" s="177"/>
      <c r="E30" s="178"/>
      <c r="F30" s="24">
        <v>13</v>
      </c>
      <c r="G30" s="25">
        <v>6</v>
      </c>
      <c r="H30" s="181" t="str">
        <f ca="1">IF(ISBLANK(INDIRECT(ADDRESS(K30*2+2,3))),"",INDIRECT(ADDRESS(K30*2+2,3)))</f>
        <v>Сендеров Александр</v>
      </c>
      <c r="I30" s="177"/>
      <c r="J30" s="177"/>
      <c r="K30" s="5">
        <v>6</v>
      </c>
      <c r="L30" s="27" t="s">
        <v>10</v>
      </c>
      <c r="M30" s="26"/>
    </row>
    <row r="31" spans="2:13" ht="30" customHeight="1" thickBot="1" x14ac:dyDescent="0.3">
      <c r="B31" s="5">
        <v>3</v>
      </c>
      <c r="C31" s="177" t="str">
        <f ca="1">IF(ISBLANK(INDIRECT(ADDRESS(B31*2+2,3))),"",INDIRECT(ADDRESS(B31*2+2,3)))</f>
        <v>Анухин Виктор</v>
      </c>
      <c r="D31" s="177"/>
      <c r="E31" s="178"/>
      <c r="F31" s="24">
        <v>7</v>
      </c>
      <c r="G31" s="25">
        <v>13</v>
      </c>
      <c r="H31" s="181" t="str">
        <f ca="1">IF(ISBLANK(INDIRECT(ADDRESS(K31*2+2,3))),"",INDIRECT(ADDRESS(K31*2+2,3)))</f>
        <v>Африканов Андрей</v>
      </c>
      <c r="I31" s="177"/>
      <c r="J31" s="177"/>
      <c r="K31" s="5">
        <v>1</v>
      </c>
      <c r="L31" s="27" t="s">
        <v>10</v>
      </c>
      <c r="M31" s="26"/>
    </row>
    <row r="32" spans="2:13" ht="30" customHeight="1" thickBot="1" x14ac:dyDescent="0.3">
      <c r="B32" s="5">
        <v>4</v>
      </c>
      <c r="C32" s="177" t="str">
        <f ca="1">IF(ISBLANK(INDIRECT(ADDRESS(B32*2+2,3))),"",INDIRECT(ADDRESS(B32*2+2,3)))</f>
        <v>Захаров Владимир</v>
      </c>
      <c r="D32" s="177"/>
      <c r="E32" s="178"/>
      <c r="F32" s="24">
        <v>13</v>
      </c>
      <c r="G32" s="25">
        <v>6</v>
      </c>
      <c r="H32" s="181" t="str">
        <f ca="1">IF(ISBLANK(INDIRECT(ADDRESS(K32*2+2,3))),"",INDIRECT(ADDRESS(K32*2+2,3)))</f>
        <v>Самыко Артем</v>
      </c>
      <c r="I32" s="177"/>
      <c r="J32" s="177"/>
      <c r="K32" s="5">
        <v>5</v>
      </c>
      <c r="L32" s="27" t="s">
        <v>10</v>
      </c>
      <c r="M32" s="26"/>
    </row>
    <row r="33" spans="2:13" ht="30" customHeight="1" x14ac:dyDescent="0.25"/>
    <row r="34" spans="2:13" ht="30" customHeight="1" thickBot="1" x14ac:dyDescent="0.3">
      <c r="B34" s="147" t="s">
        <v>7</v>
      </c>
      <c r="C34" s="147"/>
      <c r="D34" s="147"/>
      <c r="E34" s="147"/>
      <c r="F34" s="147"/>
      <c r="G34" s="147"/>
      <c r="H34" s="147"/>
      <c r="I34" s="147"/>
      <c r="J34" s="147"/>
      <c r="K34" s="147"/>
    </row>
    <row r="35" spans="2:13" ht="30" customHeight="1" thickBot="1" x14ac:dyDescent="0.3">
      <c r="B35" s="5">
        <v>6</v>
      </c>
      <c r="C35" s="177" t="str">
        <f ca="1">IF(ISBLANK(INDIRECT(ADDRESS(B35*2+2,3))),"",INDIRECT(ADDRESS(B35*2+2,3)))</f>
        <v>Сендеров Александр</v>
      </c>
      <c r="D35" s="177"/>
      <c r="E35" s="178"/>
      <c r="F35" s="24">
        <v>9</v>
      </c>
      <c r="G35" s="25">
        <v>13</v>
      </c>
      <c r="H35" s="181" t="str">
        <f ca="1">IF(ISBLANK(INDIRECT(ADDRESS(K35*2+2,3))),"",INDIRECT(ADDRESS(K35*2+2,3)))</f>
        <v>Самыко Артем</v>
      </c>
      <c r="I35" s="177"/>
      <c r="J35" s="177"/>
      <c r="K35" s="5">
        <v>5</v>
      </c>
      <c r="L35" s="27" t="s">
        <v>10</v>
      </c>
      <c r="M35" s="26"/>
    </row>
    <row r="36" spans="2:13" ht="30" customHeight="1" thickBot="1" x14ac:dyDescent="0.3">
      <c r="B36" s="5">
        <v>1</v>
      </c>
      <c r="C36" s="177" t="str">
        <f ca="1">IF(ISBLANK(INDIRECT(ADDRESS(B36*2+2,3))),"",INDIRECT(ADDRESS(B36*2+2,3)))</f>
        <v>Африканов Андрей</v>
      </c>
      <c r="D36" s="177"/>
      <c r="E36" s="178"/>
      <c r="F36" s="24">
        <v>13</v>
      </c>
      <c r="G36" s="25">
        <v>3</v>
      </c>
      <c r="H36" s="181" t="str">
        <f ca="1">IF(ISBLANK(INDIRECT(ADDRESS(K36*2+2,3))),"",INDIRECT(ADDRESS(K36*2+2,3)))</f>
        <v>Захаров Владимир</v>
      </c>
      <c r="I36" s="177"/>
      <c r="J36" s="177"/>
      <c r="K36" s="5">
        <v>4</v>
      </c>
      <c r="L36" s="27" t="s">
        <v>10</v>
      </c>
      <c r="M36" s="26"/>
    </row>
    <row r="37" spans="2:13" ht="30" customHeight="1" thickBot="1" x14ac:dyDescent="0.3">
      <c r="B37" s="5">
        <v>2</v>
      </c>
      <c r="C37" s="177" t="str">
        <f ca="1">IF(ISBLANK(INDIRECT(ADDRESS(B37*2+2,3))),"",INDIRECT(ADDRESS(B37*2+2,3)))</f>
        <v>Зуир Мустаид</v>
      </c>
      <c r="D37" s="177"/>
      <c r="E37" s="178"/>
      <c r="F37" s="24">
        <v>1</v>
      </c>
      <c r="G37" s="25">
        <v>13</v>
      </c>
      <c r="H37" s="181" t="str">
        <f ca="1">IF(ISBLANK(INDIRECT(ADDRESS(K37*2+2,3))),"",INDIRECT(ADDRESS(K37*2+2,3)))</f>
        <v>Анухин Виктор</v>
      </c>
      <c r="I37" s="177"/>
      <c r="J37" s="177"/>
      <c r="K37" s="5">
        <v>3</v>
      </c>
      <c r="L37" s="27" t="s">
        <v>10</v>
      </c>
      <c r="M37" s="26"/>
    </row>
    <row r="38" spans="2:13" ht="30" customHeight="1" x14ac:dyDescent="0.25"/>
    <row r="39" spans="2:13" ht="30" customHeight="1" thickBot="1" x14ac:dyDescent="0.3"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</row>
    <row r="40" spans="2:13" ht="30" customHeight="1" thickBot="1" x14ac:dyDescent="0.3">
      <c r="B40" s="5">
        <v>3</v>
      </c>
      <c r="C40" s="177" t="str">
        <f ca="1">IF(ISBLANK(INDIRECT(ADDRESS(B40*2+2,3))),"",INDIRECT(ADDRESS(B40*2+2,3)))</f>
        <v>Анухин Виктор</v>
      </c>
      <c r="D40" s="177"/>
      <c r="E40" s="178"/>
      <c r="F40" s="24">
        <v>13</v>
      </c>
      <c r="G40" s="25">
        <v>5</v>
      </c>
      <c r="H40" s="181" t="str">
        <f ca="1">IF(ISBLANK(INDIRECT(ADDRESS(K40*2+2,3))),"",INDIRECT(ADDRESS(K40*2+2,3)))</f>
        <v>Сендеров Александр</v>
      </c>
      <c r="I40" s="177"/>
      <c r="J40" s="177"/>
      <c r="K40" s="5">
        <v>6</v>
      </c>
      <c r="L40" s="27" t="s">
        <v>10</v>
      </c>
      <c r="M40" s="26"/>
    </row>
    <row r="41" spans="2:13" ht="30" customHeight="1" thickBot="1" x14ac:dyDescent="0.3">
      <c r="B41" s="5">
        <v>4</v>
      </c>
      <c r="C41" s="177" t="str">
        <f ca="1">IF(ISBLANK(INDIRECT(ADDRESS(B41*2+2,3))),"",INDIRECT(ADDRESS(B41*2+2,3)))</f>
        <v>Захаров Владимир</v>
      </c>
      <c r="D41" s="177"/>
      <c r="E41" s="178"/>
      <c r="F41" s="24">
        <v>5</v>
      </c>
      <c r="G41" s="25">
        <v>13</v>
      </c>
      <c r="H41" s="181" t="str">
        <f ca="1">IF(ISBLANK(INDIRECT(ADDRESS(K41*2+2,3))),"",INDIRECT(ADDRESS(K41*2+2,3)))</f>
        <v>Зуир Мустаид</v>
      </c>
      <c r="I41" s="177"/>
      <c r="J41" s="177"/>
      <c r="K41" s="5">
        <v>2</v>
      </c>
      <c r="L41" s="27" t="s">
        <v>10</v>
      </c>
      <c r="M41" s="26"/>
    </row>
    <row r="42" spans="2:13" ht="30" customHeight="1" thickBot="1" x14ac:dyDescent="0.3">
      <c r="B42" s="5">
        <v>5</v>
      </c>
      <c r="C42" s="177" t="str">
        <f ca="1">IF(ISBLANK(INDIRECT(ADDRESS(B42*2+2,3))),"",INDIRECT(ADDRESS(B42*2+2,3)))</f>
        <v>Самыко Артем</v>
      </c>
      <c r="D42" s="177"/>
      <c r="E42" s="178"/>
      <c r="F42" s="24">
        <v>4</v>
      </c>
      <c r="G42" s="25">
        <v>13</v>
      </c>
      <c r="H42" s="181" t="str">
        <f ca="1">IF(ISBLANK(INDIRECT(ADDRESS(K42*2+2,3))),"",INDIRECT(ADDRESS(K42*2+2,3)))</f>
        <v>Африканов Андрей</v>
      </c>
      <c r="I42" s="177"/>
      <c r="J42" s="177"/>
      <c r="K42" s="5">
        <v>1</v>
      </c>
      <c r="L42" s="27" t="s">
        <v>10</v>
      </c>
      <c r="M42" s="26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C8" sqref="C8:E9"/>
    </sheetView>
  </sheetViews>
  <sheetFormatPr defaultRowHeight="15" x14ac:dyDescent="0.25"/>
  <cols>
    <col min="1" max="1" width="4" style="30" customWidth="1"/>
    <col min="2" max="11" width="10.28515625" customWidth="1"/>
    <col min="12" max="12" width="10.28515625" style="28" customWidth="1"/>
    <col min="13" max="14" width="10.28515625" customWidth="1"/>
  </cols>
  <sheetData>
    <row r="1" spans="1:12" ht="22.5" x14ac:dyDescent="0.25">
      <c r="A1"/>
      <c r="B1" s="249" t="s">
        <v>76</v>
      </c>
      <c r="C1" s="249"/>
      <c r="D1" s="249"/>
      <c r="E1" s="249"/>
      <c r="F1" s="249"/>
      <c r="G1" s="249"/>
      <c r="H1" s="249"/>
      <c r="I1" s="249"/>
      <c r="J1" s="249"/>
      <c r="K1" s="31">
        <v>46047</v>
      </c>
    </row>
    <row r="2" spans="1:12" ht="15.75" thickBot="1" x14ac:dyDescent="0.3">
      <c r="A2"/>
    </row>
    <row r="3" spans="1:12" ht="15.75" thickBot="1" x14ac:dyDescent="0.3">
      <c r="A3"/>
      <c r="B3" s="90"/>
      <c r="C3" s="128" t="s">
        <v>0</v>
      </c>
      <c r="D3" s="129"/>
      <c r="E3" s="130"/>
      <c r="F3" s="1">
        <v>1</v>
      </c>
      <c r="G3" s="1">
        <v>2</v>
      </c>
      <c r="H3" s="2">
        <v>3</v>
      </c>
      <c r="I3" s="90" t="s">
        <v>1</v>
      </c>
      <c r="J3" s="1" t="s">
        <v>3</v>
      </c>
      <c r="K3" s="21" t="s">
        <v>2</v>
      </c>
    </row>
    <row r="4" spans="1:12" ht="21" x14ac:dyDescent="0.25">
      <c r="A4"/>
      <c r="B4" s="131">
        <v>1</v>
      </c>
      <c r="C4" s="157" t="s">
        <v>192</v>
      </c>
      <c r="D4" s="158"/>
      <c r="E4" s="159"/>
      <c r="F4" s="10" t="s">
        <v>24</v>
      </c>
      <c r="G4" s="6" t="str">
        <f ca="1">INDIRECT(ADDRESS(17,6))&amp;":"&amp;INDIRECT(ADDRESS(17,7))</f>
        <v>13:3</v>
      </c>
      <c r="H4" s="6" t="str">
        <f ca="1">INDIRECT(ADDRESS(20,7))&amp;":"&amp;INDIRECT(ADDRESS(20,6))</f>
        <v>7:13</v>
      </c>
      <c r="I4" s="150">
        <f ca="1">IF(COUNT(F5:H5)=0,"",COUNTIF(F5:H5,"&gt;0")+0.5*COUNTIF(F5:H5,0)+IFERROR(0.5-SIGN(F7)/2,0)+IFERROR(0.5-SIGN(F9)/2,0)+IFERROR(0.5-SIGN(#REF!)/2,0))</f>
        <v>3</v>
      </c>
      <c r="J4" s="23">
        <v>-1</v>
      </c>
      <c r="K4" s="148">
        <v>2</v>
      </c>
    </row>
    <row r="5" spans="1:12" ht="21" x14ac:dyDescent="0.25">
      <c r="A5"/>
      <c r="B5" s="132"/>
      <c r="C5" s="152"/>
      <c r="D5" s="153"/>
      <c r="E5" s="154"/>
      <c r="F5" s="13" t="s">
        <v>24</v>
      </c>
      <c r="G5" s="16">
        <f ca="1">IF(LEN(INDIRECT(ADDRESS(ROW()-1, COLUMN())))=1,"",INDIRECT(ADDRESS(17,6))-INDIRECT(ADDRESS(17,7)))</f>
        <v>10</v>
      </c>
      <c r="H5" s="16">
        <f ca="1">IF(LEN(INDIRECT(ADDRESS(ROW()-1, COLUMN())))=1,"",INDIRECT(ADDRESS(20,7))-INDIRECT(ADDRESS(20,6)))</f>
        <v>-6</v>
      </c>
      <c r="I5" s="151"/>
      <c r="J5" s="16">
        <f ca="1">IF(COUNT(F5:H5)=0,"",SUM(F5:H5)-IF(F7="",0,F7)-IF(F9="",0,F9))</f>
        <v>10</v>
      </c>
      <c r="K5" s="149"/>
    </row>
    <row r="6" spans="1:12" ht="21" x14ac:dyDescent="0.25">
      <c r="A6"/>
      <c r="B6" s="139">
        <v>2</v>
      </c>
      <c r="C6" s="140" t="s">
        <v>193</v>
      </c>
      <c r="D6" s="141"/>
      <c r="E6" s="142"/>
      <c r="F6" s="12" t="str">
        <f ca="1">INDIRECT(ADDRESS(26,6))&amp;":"&amp;INDIRECT(ADDRESS(26,7))</f>
        <v>12:13</v>
      </c>
      <c r="G6" s="8" t="s">
        <v>24</v>
      </c>
      <c r="H6" s="7" t="str">
        <f ca="1">INDIRECT(ADDRESS(14,6))&amp;":"&amp;INDIRECT(ADDRESS(14,7))</f>
        <v>2:13</v>
      </c>
      <c r="I6" s="151">
        <f ca="1">IF(COUNT(F7:H7)=0,"",COUNTIF(F7:H7,"&gt;0")+0.5*COUNTIF(F7:H7,0)+IFERROR(0.5-SIGN(G5)/2,0)+IFERROR(0.5-SIGN(G9)/2,0)+IFERROR(0.5-SIGN(#REF!)/2,0))</f>
        <v>0</v>
      </c>
      <c r="J6" s="16"/>
      <c r="K6" s="149">
        <v>3</v>
      </c>
    </row>
    <row r="7" spans="1:12" ht="21" x14ac:dyDescent="0.25">
      <c r="A7"/>
      <c r="B7" s="132"/>
      <c r="C7" s="140"/>
      <c r="D7" s="141"/>
      <c r="E7" s="142"/>
      <c r="F7" s="22">
        <f ca="1">IF(LEN(INDIRECT(ADDRESS(ROW()-1, COLUMN())))=1,"",INDIRECT(ADDRESS(26,6))-INDIRECT(ADDRESS(26,7)))</f>
        <v>-1</v>
      </c>
      <c r="G7" s="14" t="s">
        <v>24</v>
      </c>
      <c r="H7" s="16">
        <f ca="1">IF(LEN(INDIRECT(ADDRESS(ROW()-1, COLUMN())))=1,"",INDIRECT(ADDRESS(14,6))-INDIRECT(ADDRESS(14,7)))</f>
        <v>-11</v>
      </c>
      <c r="I7" s="151"/>
      <c r="J7" s="16">
        <f ca="1">IF(COUNT(F7:H7)=0,"",SUM(F7:H7)-IF(G5="",0,G5)-IF(G9="",0,G9))</f>
        <v>-25</v>
      </c>
      <c r="K7" s="149"/>
    </row>
    <row r="8" spans="1:12" ht="21" x14ac:dyDescent="0.25">
      <c r="A8"/>
      <c r="B8" s="139">
        <v>3</v>
      </c>
      <c r="C8" s="136" t="s">
        <v>194</v>
      </c>
      <c r="D8" s="137"/>
      <c r="E8" s="138"/>
      <c r="F8" s="12" t="str">
        <f ca="1">INDIRECT(ADDRESS(29,7))&amp;":"&amp;INDIRECT(ADDRESS(29,6))</f>
        <v>8:13</v>
      </c>
      <c r="G8" s="7" t="str">
        <f ca="1">INDIRECT(ADDRESS(23,6))&amp;":"&amp;INDIRECT(ADDRESS(23,7))</f>
        <v>13:10</v>
      </c>
      <c r="H8" s="8" t="s">
        <v>24</v>
      </c>
      <c r="I8" s="151">
        <f ca="1">IF(COUNT(F9:H9)=0,"",COUNTIF(F9:H9,"&gt;0")+0.5*COUNTIF(F9:H9,0)+IFERROR(0.5-SIGN(H5)/2,0)+IFERROR(0.5-SIGN(H7)/2,0)+IFERROR(0.5-SIGN(#REF!)/2,0))</f>
        <v>3</v>
      </c>
      <c r="J8" s="16">
        <v>1</v>
      </c>
      <c r="K8" s="149">
        <v>1</v>
      </c>
    </row>
    <row r="9" spans="1:12" ht="21.75" thickBot="1" x14ac:dyDescent="0.3">
      <c r="A9"/>
      <c r="B9" s="143"/>
      <c r="C9" s="250"/>
      <c r="D9" s="251"/>
      <c r="E9" s="252"/>
      <c r="F9" s="19">
        <f ca="1">IF(LEN(INDIRECT(ADDRESS(ROW()-1, COLUMN())))=1,"",INDIRECT(ADDRESS(29,7))-INDIRECT(ADDRESS(29,6)))</f>
        <v>-5</v>
      </c>
      <c r="G9" s="18">
        <f ca="1">IF(LEN(INDIRECT(ADDRESS(ROW()-1, COLUMN())))=1,"",INDIRECT(ADDRESS(23,6))-INDIRECT(ADDRESS(23,7)))</f>
        <v>3</v>
      </c>
      <c r="H9" s="82" t="s">
        <v>24</v>
      </c>
      <c r="I9" s="156"/>
      <c r="J9" s="18">
        <f ca="1">IF(COUNT(F9:H9)=0,"",SUM(F9:H9)-IF(H5="",0,H5)-IF(H7="",0,H7))</f>
        <v>15</v>
      </c>
      <c r="K9" s="155"/>
    </row>
    <row r="10" spans="1:12" x14ac:dyDescent="0.25">
      <c r="A10"/>
    </row>
    <row r="11" spans="1:12" x14ac:dyDescent="0.25">
      <c r="A11"/>
    </row>
    <row r="12" spans="1:12" x14ac:dyDescent="0.25">
      <c r="A12"/>
    </row>
    <row r="13" spans="1:12" ht="21.75" thickBot="1" x14ac:dyDescent="0.3">
      <c r="A13"/>
      <c r="B13" s="147" t="s">
        <v>4</v>
      </c>
      <c r="C13" s="147"/>
      <c r="D13" s="147"/>
      <c r="E13" s="147"/>
      <c r="F13" s="147"/>
      <c r="G13" s="147"/>
      <c r="H13" s="147"/>
      <c r="I13" s="147"/>
      <c r="J13" s="147"/>
    </row>
    <row r="14" spans="1:12" ht="19.5" thickBot="1" x14ac:dyDescent="0.3">
      <c r="A14"/>
      <c r="B14" s="5">
        <v>2</v>
      </c>
      <c r="C14" s="177" t="str">
        <f ca="1">IF(ISBLANK(INDIRECT(ADDRESS(B14*2+2,3))),"",INDIRECT(ADDRESS(B14*2+2,3)))</f>
        <v>Помазан Геннадий</v>
      </c>
      <c r="D14" s="177"/>
      <c r="E14" s="178"/>
      <c r="F14" s="24">
        <v>2</v>
      </c>
      <c r="G14" s="25">
        <v>13</v>
      </c>
      <c r="H14" s="181" t="str">
        <f ca="1">IF(ISBLANK(INDIRECT(ADDRESS(J14*2+2,3))),"",INDIRECT(ADDRESS(J14*2+2,3)))</f>
        <v>Субанов Руслан</v>
      </c>
      <c r="I14" s="177"/>
      <c r="J14" s="5">
        <v>3</v>
      </c>
      <c r="K14" s="27" t="s">
        <v>10</v>
      </c>
      <c r="L14" s="57"/>
    </row>
    <row r="15" spans="1:12" ht="30" customHeight="1" x14ac:dyDescent="0.25">
      <c r="A15"/>
    </row>
    <row r="16" spans="1:12" ht="21.75" thickBot="1" x14ac:dyDescent="0.3">
      <c r="A16"/>
      <c r="B16" s="147" t="s">
        <v>5</v>
      </c>
      <c r="C16" s="147"/>
      <c r="D16" s="147"/>
      <c r="E16" s="147"/>
      <c r="F16" s="147"/>
      <c r="G16" s="147"/>
      <c r="H16" s="147"/>
      <c r="I16" s="147"/>
      <c r="J16" s="147"/>
    </row>
    <row r="17" spans="1:12" ht="19.5" thickBot="1" x14ac:dyDescent="0.3">
      <c r="A17"/>
      <c r="B17" s="5">
        <v>1</v>
      </c>
      <c r="C17" s="177" t="str">
        <f ca="1">IF(ISBLANK(INDIRECT(ADDRESS(B17*2+2,3))),"",INDIRECT(ADDRESS(B17*2+2,3)))</f>
        <v>Еремин Павел</v>
      </c>
      <c r="D17" s="177"/>
      <c r="E17" s="178"/>
      <c r="F17" s="24">
        <v>13</v>
      </c>
      <c r="G17" s="25">
        <v>3</v>
      </c>
      <c r="H17" s="181" t="str">
        <f ca="1">IF(ISBLANK(INDIRECT(ADDRESS(J17*2+2,3))),"",INDIRECT(ADDRESS(J17*2+2,3)))</f>
        <v>Помазан Геннадий</v>
      </c>
      <c r="I17" s="177"/>
      <c r="J17" s="5">
        <v>2</v>
      </c>
      <c r="K17" s="27" t="s">
        <v>10</v>
      </c>
      <c r="L17" s="57"/>
    </row>
    <row r="18" spans="1:12" ht="30" customHeight="1" x14ac:dyDescent="0.25">
      <c r="A18"/>
    </row>
    <row r="19" spans="1:12" ht="21.75" thickBot="1" x14ac:dyDescent="0.3">
      <c r="A19"/>
      <c r="B19" s="147" t="s">
        <v>6</v>
      </c>
      <c r="C19" s="147"/>
      <c r="D19" s="147"/>
      <c r="E19" s="147"/>
      <c r="F19" s="147"/>
      <c r="G19" s="147"/>
      <c r="H19" s="147"/>
      <c r="I19" s="147"/>
      <c r="J19" s="147"/>
    </row>
    <row r="20" spans="1:12" ht="19.5" thickBot="1" x14ac:dyDescent="0.3">
      <c r="A20"/>
      <c r="B20" s="5">
        <v>3</v>
      </c>
      <c r="C20" s="177" t="str">
        <f ca="1">IF(ISBLANK(INDIRECT(ADDRESS(B20*2+2,3))),"",INDIRECT(ADDRESS(B20*2+2,3)))</f>
        <v>Субанов Руслан</v>
      </c>
      <c r="D20" s="177"/>
      <c r="E20" s="178"/>
      <c r="F20" s="24">
        <v>13</v>
      </c>
      <c r="G20" s="25">
        <v>7</v>
      </c>
      <c r="H20" s="181" t="str">
        <f ca="1">IF(ISBLANK(INDIRECT(ADDRESS(J20*2+2,3))),"",INDIRECT(ADDRESS(J20*2+2,3)))</f>
        <v>Еремин Павел</v>
      </c>
      <c r="I20" s="177"/>
      <c r="J20" s="5">
        <v>1</v>
      </c>
      <c r="K20" s="27" t="s">
        <v>10</v>
      </c>
      <c r="L20" s="57"/>
    </row>
    <row r="21" spans="1:12" ht="29.25" customHeight="1" x14ac:dyDescent="0.25">
      <c r="A21"/>
    </row>
    <row r="22" spans="1:12" ht="21.75" thickBot="1" x14ac:dyDescent="0.3">
      <c r="A22"/>
      <c r="B22" s="147" t="s">
        <v>7</v>
      </c>
      <c r="C22" s="147"/>
      <c r="D22" s="147"/>
      <c r="E22" s="147"/>
      <c r="F22" s="147"/>
      <c r="G22" s="147"/>
      <c r="H22" s="147"/>
      <c r="I22" s="147"/>
      <c r="J22" s="147"/>
    </row>
    <row r="23" spans="1:12" ht="19.5" thickBot="1" x14ac:dyDescent="0.3">
      <c r="A23"/>
      <c r="B23" s="5">
        <v>3</v>
      </c>
      <c r="C23" s="177" t="str">
        <f ca="1">IF(ISBLANK(INDIRECT(ADDRESS(B23*2+2,3))),"",INDIRECT(ADDRESS(B23*2+2,3)))</f>
        <v>Субанов Руслан</v>
      </c>
      <c r="D23" s="177"/>
      <c r="E23" s="178"/>
      <c r="F23" s="24">
        <v>13</v>
      </c>
      <c r="G23" s="25">
        <v>10</v>
      </c>
      <c r="H23" s="181" t="str">
        <f ca="1">IF(ISBLANK(INDIRECT(ADDRESS(J23*2+2,3))),"",INDIRECT(ADDRESS(J23*2+2,3)))</f>
        <v>Помазан Геннадий</v>
      </c>
      <c r="I23" s="177"/>
      <c r="J23" s="5">
        <v>2</v>
      </c>
      <c r="K23" s="27" t="s">
        <v>10</v>
      </c>
      <c r="L23" s="57"/>
    </row>
    <row r="24" spans="1:12" ht="30" customHeight="1" x14ac:dyDescent="0.25">
      <c r="A24"/>
    </row>
    <row r="25" spans="1:12" ht="21.75" thickBot="1" x14ac:dyDescent="0.3">
      <c r="A25"/>
      <c r="B25" s="147" t="s">
        <v>8</v>
      </c>
      <c r="C25" s="147"/>
      <c r="D25" s="147"/>
      <c r="E25" s="147"/>
      <c r="F25" s="147"/>
      <c r="G25" s="147"/>
      <c r="H25" s="147"/>
      <c r="I25" s="147"/>
      <c r="J25" s="147"/>
    </row>
    <row r="26" spans="1:12" ht="19.5" thickBot="1" x14ac:dyDescent="0.3">
      <c r="A26"/>
      <c r="B26" s="5">
        <v>2</v>
      </c>
      <c r="C26" s="177" t="str">
        <f ca="1">IF(ISBLANK(INDIRECT(ADDRESS(B26*2+2,3))),"",INDIRECT(ADDRESS(B26*2+2,3)))</f>
        <v>Помазан Геннадий</v>
      </c>
      <c r="D26" s="177"/>
      <c r="E26" s="178"/>
      <c r="F26" s="24">
        <v>12</v>
      </c>
      <c r="G26" s="25">
        <v>13</v>
      </c>
      <c r="H26" s="181" t="str">
        <f ca="1">IF(ISBLANK(INDIRECT(ADDRESS(J26*2+2,3))),"",INDIRECT(ADDRESS(J26*2+2,3)))</f>
        <v>Еремин Павел</v>
      </c>
      <c r="I26" s="177"/>
      <c r="J26" s="5">
        <v>1</v>
      </c>
      <c r="K26" s="27" t="s">
        <v>10</v>
      </c>
      <c r="L26" s="57"/>
    </row>
    <row r="27" spans="1:12" ht="30" customHeight="1" x14ac:dyDescent="0.25">
      <c r="A27"/>
    </row>
    <row r="28" spans="1:12" ht="21.75" thickBot="1" x14ac:dyDescent="0.3">
      <c r="A28"/>
      <c r="B28" s="147" t="s">
        <v>94</v>
      </c>
      <c r="C28" s="147"/>
      <c r="D28" s="147"/>
      <c r="E28" s="147"/>
      <c r="F28" s="147"/>
      <c r="G28" s="147"/>
      <c r="H28" s="147"/>
      <c r="I28" s="147"/>
      <c r="J28" s="147"/>
    </row>
    <row r="29" spans="1:12" ht="19.5" thickBot="1" x14ac:dyDescent="0.3">
      <c r="A29"/>
      <c r="B29" s="5">
        <v>1</v>
      </c>
      <c r="C29" s="177" t="str">
        <f ca="1">IF(ISBLANK(INDIRECT(ADDRESS(B29*2+2,3))),"",INDIRECT(ADDRESS(B29*2+2,3)))</f>
        <v>Еремин Павел</v>
      </c>
      <c r="D29" s="177"/>
      <c r="E29" s="178"/>
      <c r="F29" s="24">
        <v>13</v>
      </c>
      <c r="G29" s="25">
        <v>8</v>
      </c>
      <c r="H29" s="181" t="str">
        <f ca="1">IF(ISBLANK(INDIRECT(ADDRESS(J29*2+2,3))),"",INDIRECT(ADDRESS(J29*2+2,3)))</f>
        <v>Субанов Руслан</v>
      </c>
      <c r="I29" s="177"/>
      <c r="J29" s="5">
        <v>3</v>
      </c>
      <c r="K29" s="27" t="s">
        <v>10</v>
      </c>
      <c r="L29" s="57"/>
    </row>
    <row r="30" spans="1:12" x14ac:dyDescent="0.25">
      <c r="A30"/>
    </row>
    <row r="31" spans="1:12" x14ac:dyDescent="0.25">
      <c r="A31"/>
    </row>
    <row r="32" spans="1:12" x14ac:dyDescent="0.25">
      <c r="A32"/>
    </row>
    <row r="33" spans="1:12" x14ac:dyDescent="0.25">
      <c r="A33"/>
      <c r="L33"/>
    </row>
    <row r="34" spans="1:12" x14ac:dyDescent="0.25">
      <c r="A34"/>
      <c r="L34"/>
    </row>
    <row r="35" spans="1:12" x14ac:dyDescent="0.25">
      <c r="A35"/>
      <c r="L35"/>
    </row>
    <row r="36" spans="1:12" x14ac:dyDescent="0.25">
      <c r="A36"/>
      <c r="L36"/>
    </row>
    <row r="37" spans="1:12" x14ac:dyDescent="0.25">
      <c r="A37"/>
      <c r="L37"/>
    </row>
    <row r="38" spans="1:12" x14ac:dyDescent="0.25">
      <c r="A38"/>
      <c r="L38"/>
    </row>
    <row r="39" spans="1:12" x14ac:dyDescent="0.25">
      <c r="A39"/>
      <c r="L39"/>
    </row>
    <row r="40" spans="1:12" x14ac:dyDescent="0.25">
      <c r="A40"/>
      <c r="L40"/>
    </row>
    <row r="41" spans="1:12" x14ac:dyDescent="0.25">
      <c r="A41"/>
      <c r="L41"/>
    </row>
    <row r="42" spans="1:12" x14ac:dyDescent="0.25">
      <c r="A42"/>
      <c r="L42"/>
    </row>
  </sheetData>
  <mergeCells count="32">
    <mergeCell ref="B28:J28"/>
    <mergeCell ref="C29:E29"/>
    <mergeCell ref="H29:I29"/>
    <mergeCell ref="C3:E3"/>
    <mergeCell ref="B4:B5"/>
    <mergeCell ref="C4:E5"/>
    <mergeCell ref="B8:B9"/>
    <mergeCell ref="C8:E9"/>
    <mergeCell ref="I8:I9"/>
    <mergeCell ref="B1:J1"/>
    <mergeCell ref="I4:I5"/>
    <mergeCell ref="K4:K5"/>
    <mergeCell ref="B6:B7"/>
    <mergeCell ref="C6:E7"/>
    <mergeCell ref="I6:I7"/>
    <mergeCell ref="K6:K7"/>
    <mergeCell ref="K8:K9"/>
    <mergeCell ref="B22:J22"/>
    <mergeCell ref="C23:E23"/>
    <mergeCell ref="C26:E26"/>
    <mergeCell ref="C20:E20"/>
    <mergeCell ref="B13:J13"/>
    <mergeCell ref="C14:E14"/>
    <mergeCell ref="H14:I14"/>
    <mergeCell ref="B16:J16"/>
    <mergeCell ref="C17:E17"/>
    <mergeCell ref="H17:I17"/>
    <mergeCell ref="B19:J19"/>
    <mergeCell ref="H20:I20"/>
    <mergeCell ref="H23:I23"/>
    <mergeCell ref="B25:J25"/>
    <mergeCell ref="H26:I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C6" sqref="C6:E7"/>
    </sheetView>
  </sheetViews>
  <sheetFormatPr defaultRowHeight="15" x14ac:dyDescent="0.25"/>
  <cols>
    <col min="1" max="1" width="4" style="30" customWidth="1"/>
    <col min="2" max="11" width="10.28515625" customWidth="1"/>
    <col min="12" max="12" width="10.28515625" style="28" customWidth="1"/>
    <col min="13" max="14" width="10.28515625" customWidth="1"/>
  </cols>
  <sheetData>
    <row r="1" spans="1:12" ht="22.5" x14ac:dyDescent="0.25">
      <c r="A1"/>
      <c r="B1" s="249" t="s">
        <v>140</v>
      </c>
      <c r="C1" s="249"/>
      <c r="D1" s="249"/>
      <c r="E1" s="249"/>
      <c r="F1" s="249"/>
      <c r="G1" s="249"/>
      <c r="H1" s="249"/>
      <c r="I1" s="249"/>
      <c r="J1" s="249"/>
      <c r="K1" s="31">
        <v>46046</v>
      </c>
    </row>
    <row r="2" spans="1:12" ht="15.75" thickBot="1" x14ac:dyDescent="0.3">
      <c r="A2"/>
    </row>
    <row r="3" spans="1:12" ht="15.75" thickBot="1" x14ac:dyDescent="0.3">
      <c r="A3"/>
      <c r="B3" s="81"/>
      <c r="C3" s="128" t="s">
        <v>0</v>
      </c>
      <c r="D3" s="129"/>
      <c r="E3" s="130"/>
      <c r="F3" s="1">
        <v>1</v>
      </c>
      <c r="G3" s="1">
        <v>2</v>
      </c>
      <c r="H3" s="2">
        <v>3</v>
      </c>
      <c r="I3" s="81" t="s">
        <v>1</v>
      </c>
      <c r="J3" s="1" t="s">
        <v>3</v>
      </c>
      <c r="K3" s="21" t="s">
        <v>2</v>
      </c>
    </row>
    <row r="4" spans="1:12" ht="21" x14ac:dyDescent="0.25">
      <c r="A4"/>
      <c r="B4" s="131">
        <v>1</v>
      </c>
      <c r="C4" s="157" t="s">
        <v>141</v>
      </c>
      <c r="D4" s="158"/>
      <c r="E4" s="159"/>
      <c r="F4" s="10" t="s">
        <v>24</v>
      </c>
      <c r="G4" s="6" t="str">
        <f ca="1">INDIRECT(ADDRESS(17,6))&amp;":"&amp;INDIRECT(ADDRESS(17,7))</f>
        <v>9:13</v>
      </c>
      <c r="H4" s="6" t="str">
        <f ca="1">INDIRECT(ADDRESS(20,7))&amp;":"&amp;INDIRECT(ADDRESS(20,6))</f>
        <v>11:13</v>
      </c>
      <c r="I4" s="150">
        <f ca="1">IF(COUNT(F5:H5)=0,"",COUNTIF(F5:H5,"&gt;0")+0.5*COUNTIF(F5:H5,0)+IFERROR(0.5-SIGN(F7)/2,0)+IFERROR(0.5-SIGN(F9)/2,0)+IFERROR(0.5-SIGN(#REF!)/2,0))</f>
        <v>2</v>
      </c>
      <c r="J4" s="23"/>
      <c r="K4" s="148">
        <v>2</v>
      </c>
    </row>
    <row r="5" spans="1:12" ht="21" x14ac:dyDescent="0.25">
      <c r="A5"/>
      <c r="B5" s="132"/>
      <c r="C5" s="152"/>
      <c r="D5" s="153"/>
      <c r="E5" s="154"/>
      <c r="F5" s="13" t="s">
        <v>24</v>
      </c>
      <c r="G5" s="16">
        <f ca="1">IF(LEN(INDIRECT(ADDRESS(ROW()-1, COLUMN())))=1,"",INDIRECT(ADDRESS(17,6))-INDIRECT(ADDRESS(17,7)))</f>
        <v>-4</v>
      </c>
      <c r="H5" s="16">
        <f ca="1">IF(LEN(INDIRECT(ADDRESS(ROW()-1, COLUMN())))=1,"",INDIRECT(ADDRESS(20,7))-INDIRECT(ADDRESS(20,6)))</f>
        <v>-2</v>
      </c>
      <c r="I5" s="151"/>
      <c r="J5" s="16">
        <f ca="1">IF(COUNT(F5:H5)=0,"",SUM(F5:H5)-IF(F7="",0,F7)-IF(F9="",0,F9))</f>
        <v>14</v>
      </c>
      <c r="K5" s="149"/>
    </row>
    <row r="6" spans="1:12" ht="21" x14ac:dyDescent="0.25">
      <c r="A6"/>
      <c r="B6" s="139">
        <v>2</v>
      </c>
      <c r="C6" s="136" t="s">
        <v>142</v>
      </c>
      <c r="D6" s="137"/>
      <c r="E6" s="138"/>
      <c r="F6" s="12" t="str">
        <f ca="1">INDIRECT(ADDRESS(26,6))&amp;":"&amp;INDIRECT(ADDRESS(26,7))</f>
        <v>4:13</v>
      </c>
      <c r="G6" s="8" t="s">
        <v>24</v>
      </c>
      <c r="H6" s="7" t="str">
        <f ca="1">INDIRECT(ADDRESS(14,6))&amp;":"&amp;INDIRECT(ADDRESS(14,7))</f>
        <v>13:2</v>
      </c>
      <c r="I6" s="151">
        <f ca="1">IF(COUNT(F7:H7)=0,"",COUNTIF(F7:H7,"&gt;0")+0.5*COUNTIF(F7:H7,0)+IFERROR(0.5-SIGN(G5)/2,0)+IFERROR(0.5-SIGN(G9)/2,0)+IFERROR(0.5-SIGN(#REF!)/2,0))</f>
        <v>3</v>
      </c>
      <c r="J6" s="16"/>
      <c r="K6" s="149">
        <v>1</v>
      </c>
    </row>
    <row r="7" spans="1:12" ht="21" x14ac:dyDescent="0.25">
      <c r="A7"/>
      <c r="B7" s="132"/>
      <c r="C7" s="136"/>
      <c r="D7" s="137"/>
      <c r="E7" s="138"/>
      <c r="F7" s="22">
        <f ca="1">IF(LEN(INDIRECT(ADDRESS(ROW()-1, COLUMN())))=1,"",INDIRECT(ADDRESS(26,6))-INDIRECT(ADDRESS(26,7)))</f>
        <v>-9</v>
      </c>
      <c r="G7" s="14" t="s">
        <v>24</v>
      </c>
      <c r="H7" s="16">
        <f ca="1">IF(LEN(INDIRECT(ADDRESS(ROW()-1, COLUMN())))=1,"",INDIRECT(ADDRESS(14,6))-INDIRECT(ADDRESS(14,7)))</f>
        <v>11</v>
      </c>
      <c r="I7" s="151"/>
      <c r="J7" s="16">
        <f ca="1">IF(COUNT(F7:H7)=0,"",SUM(F7:H7)-IF(G5="",0,G5)-IF(G9="",0,G9))</f>
        <v>16</v>
      </c>
      <c r="K7" s="149"/>
    </row>
    <row r="8" spans="1:12" ht="21" x14ac:dyDescent="0.25">
      <c r="A8"/>
      <c r="B8" s="139">
        <v>3</v>
      </c>
      <c r="C8" s="140" t="s">
        <v>143</v>
      </c>
      <c r="D8" s="141"/>
      <c r="E8" s="142"/>
      <c r="F8" s="12" t="str">
        <f ca="1">INDIRECT(ADDRESS(29,7))&amp;":"&amp;INDIRECT(ADDRESS(29,6))</f>
        <v>2:13</v>
      </c>
      <c r="G8" s="7" t="str">
        <f ca="1">INDIRECT(ADDRESS(23,6))&amp;":"&amp;INDIRECT(ADDRESS(23,7))</f>
        <v>3:13</v>
      </c>
      <c r="H8" s="8" t="s">
        <v>24</v>
      </c>
      <c r="I8" s="151">
        <f ca="1">IF(COUNT(F9:H9)=0,"",COUNTIF(F9:H9,"&gt;0")+0.5*COUNTIF(F9:H9,0)+IFERROR(0.5-SIGN(H5)/2,0)+IFERROR(0.5-SIGN(H7)/2,0)+IFERROR(0.5-SIGN(#REF!)/2,0))</f>
        <v>1</v>
      </c>
      <c r="J8" s="16"/>
      <c r="K8" s="149">
        <v>3</v>
      </c>
    </row>
    <row r="9" spans="1:12" ht="21.75" thickBot="1" x14ac:dyDescent="0.3">
      <c r="A9"/>
      <c r="B9" s="143"/>
      <c r="C9" s="144"/>
      <c r="D9" s="145"/>
      <c r="E9" s="146"/>
      <c r="F9" s="19">
        <f ca="1">IF(LEN(INDIRECT(ADDRESS(ROW()-1, COLUMN())))=1,"",INDIRECT(ADDRESS(29,7))-INDIRECT(ADDRESS(29,6)))</f>
        <v>-11</v>
      </c>
      <c r="G9" s="18">
        <f ca="1">IF(LEN(INDIRECT(ADDRESS(ROW()-1, COLUMN())))=1,"",INDIRECT(ADDRESS(23,6))-INDIRECT(ADDRESS(23,7)))</f>
        <v>-10</v>
      </c>
      <c r="H9" s="82" t="s">
        <v>24</v>
      </c>
      <c r="I9" s="156"/>
      <c r="J9" s="18">
        <f ca="1">IF(COUNT(F9:H9)=0,"",SUM(F9:H9)-IF(H5="",0,H5)-IF(H7="",0,H7))</f>
        <v>-30</v>
      </c>
      <c r="K9" s="155"/>
    </row>
    <row r="10" spans="1:12" x14ac:dyDescent="0.25">
      <c r="A10"/>
    </row>
    <row r="11" spans="1:12" x14ac:dyDescent="0.25">
      <c r="A11"/>
    </row>
    <row r="12" spans="1:12" x14ac:dyDescent="0.25">
      <c r="A12"/>
    </row>
    <row r="13" spans="1:12" ht="21.75" thickBot="1" x14ac:dyDescent="0.3">
      <c r="A13"/>
      <c r="B13" s="147" t="s">
        <v>4</v>
      </c>
      <c r="C13" s="147"/>
      <c r="D13" s="147"/>
      <c r="E13" s="147"/>
      <c r="F13" s="147"/>
      <c r="G13" s="147"/>
      <c r="H13" s="147"/>
      <c r="I13" s="147"/>
      <c r="J13" s="147"/>
    </row>
    <row r="14" spans="1:12" ht="19.5" thickBot="1" x14ac:dyDescent="0.3">
      <c r="A14"/>
      <c r="B14" s="5">
        <v>2</v>
      </c>
      <c r="C14" s="177" t="str">
        <f ca="1">IF(ISBLANK(INDIRECT(ADDRESS(B14*2+2,3))),"",INDIRECT(ADDRESS(B14*2+2,3)))</f>
        <v>Догадин Евгений</v>
      </c>
      <c r="D14" s="177"/>
      <c r="E14" s="178"/>
      <c r="F14" s="24">
        <v>13</v>
      </c>
      <c r="G14" s="25">
        <v>2</v>
      </c>
      <c r="H14" s="181" t="str">
        <f ca="1">IF(ISBLANK(INDIRECT(ADDRESS(J14*2+2,3))),"",INDIRECT(ADDRESS(J14*2+2,3)))</f>
        <v>Гришков Егор</v>
      </c>
      <c r="I14" s="177"/>
      <c r="J14" s="5">
        <v>3</v>
      </c>
      <c r="K14" s="27" t="s">
        <v>10</v>
      </c>
      <c r="L14" s="57"/>
    </row>
    <row r="15" spans="1:12" ht="30" customHeight="1" x14ac:dyDescent="0.25">
      <c r="A15"/>
    </row>
    <row r="16" spans="1:12" ht="21.75" thickBot="1" x14ac:dyDescent="0.3">
      <c r="A16"/>
      <c r="B16" s="147" t="s">
        <v>5</v>
      </c>
      <c r="C16" s="147"/>
      <c r="D16" s="147"/>
      <c r="E16" s="147"/>
      <c r="F16" s="147"/>
      <c r="G16" s="147"/>
      <c r="H16" s="147"/>
      <c r="I16" s="147"/>
      <c r="J16" s="147"/>
    </row>
    <row r="17" spans="1:12" ht="19.5" thickBot="1" x14ac:dyDescent="0.3">
      <c r="A17"/>
      <c r="B17" s="5">
        <v>1</v>
      </c>
      <c r="C17" s="177" t="str">
        <f ca="1">IF(ISBLANK(INDIRECT(ADDRESS(B17*2+2,3))),"",INDIRECT(ADDRESS(B17*2+2,3)))</f>
        <v>Гришков Сергей</v>
      </c>
      <c r="D17" s="177"/>
      <c r="E17" s="178"/>
      <c r="F17" s="24">
        <v>9</v>
      </c>
      <c r="G17" s="25">
        <v>13</v>
      </c>
      <c r="H17" s="181" t="str">
        <f ca="1">IF(ISBLANK(INDIRECT(ADDRESS(J17*2+2,3))),"",INDIRECT(ADDRESS(J17*2+2,3)))</f>
        <v>Догадин Евгений</v>
      </c>
      <c r="I17" s="177"/>
      <c r="J17" s="5">
        <v>2</v>
      </c>
      <c r="K17" s="27" t="s">
        <v>10</v>
      </c>
      <c r="L17" s="57"/>
    </row>
    <row r="18" spans="1:12" ht="30" customHeight="1" x14ac:dyDescent="0.25">
      <c r="A18"/>
    </row>
    <row r="19" spans="1:12" ht="21.75" thickBot="1" x14ac:dyDescent="0.3">
      <c r="A19"/>
      <c r="B19" s="147" t="s">
        <v>6</v>
      </c>
      <c r="C19" s="147"/>
      <c r="D19" s="147"/>
      <c r="E19" s="147"/>
      <c r="F19" s="147"/>
      <c r="G19" s="147"/>
      <c r="H19" s="147"/>
      <c r="I19" s="147"/>
      <c r="J19" s="147"/>
    </row>
    <row r="20" spans="1:12" ht="19.5" thickBot="1" x14ac:dyDescent="0.3">
      <c r="A20"/>
      <c r="B20" s="5">
        <v>3</v>
      </c>
      <c r="C20" s="177" t="str">
        <f ca="1">IF(ISBLANK(INDIRECT(ADDRESS(B20*2+2,3))),"",INDIRECT(ADDRESS(B20*2+2,3)))</f>
        <v>Гришков Егор</v>
      </c>
      <c r="D20" s="177"/>
      <c r="E20" s="178"/>
      <c r="F20" s="24">
        <v>13</v>
      </c>
      <c r="G20" s="25">
        <v>11</v>
      </c>
      <c r="H20" s="181" t="str">
        <f ca="1">IF(ISBLANK(INDIRECT(ADDRESS(J20*2+2,3))),"",INDIRECT(ADDRESS(J20*2+2,3)))</f>
        <v>Гришков Сергей</v>
      </c>
      <c r="I20" s="177"/>
      <c r="J20" s="5">
        <v>1</v>
      </c>
      <c r="K20" s="27" t="s">
        <v>10</v>
      </c>
      <c r="L20" s="57"/>
    </row>
    <row r="21" spans="1:12" ht="29.25" customHeight="1" x14ac:dyDescent="0.25">
      <c r="A21"/>
    </row>
    <row r="22" spans="1:12" ht="21.75" thickBot="1" x14ac:dyDescent="0.3">
      <c r="A22"/>
      <c r="B22" s="147" t="s">
        <v>7</v>
      </c>
      <c r="C22" s="147"/>
      <c r="D22" s="147"/>
      <c r="E22" s="147"/>
      <c r="F22" s="147"/>
      <c r="G22" s="147"/>
      <c r="H22" s="147"/>
      <c r="I22" s="147"/>
      <c r="J22" s="147"/>
    </row>
    <row r="23" spans="1:12" ht="19.5" thickBot="1" x14ac:dyDescent="0.3">
      <c r="A23"/>
      <c r="B23" s="5">
        <v>3</v>
      </c>
      <c r="C23" s="177" t="str">
        <f ca="1">IF(ISBLANK(INDIRECT(ADDRESS(B23*2+2,3))),"",INDIRECT(ADDRESS(B23*2+2,3)))</f>
        <v>Гришков Егор</v>
      </c>
      <c r="D23" s="177"/>
      <c r="E23" s="178"/>
      <c r="F23" s="24">
        <v>3</v>
      </c>
      <c r="G23" s="25">
        <v>13</v>
      </c>
      <c r="H23" s="181" t="str">
        <f ca="1">IF(ISBLANK(INDIRECT(ADDRESS(J23*2+2,3))),"",INDIRECT(ADDRESS(J23*2+2,3)))</f>
        <v>Догадин Евгений</v>
      </c>
      <c r="I23" s="177"/>
      <c r="J23" s="5">
        <v>2</v>
      </c>
      <c r="K23" s="27" t="s">
        <v>10</v>
      </c>
      <c r="L23" s="57"/>
    </row>
    <row r="24" spans="1:12" ht="30" customHeight="1" x14ac:dyDescent="0.25">
      <c r="A24"/>
    </row>
    <row r="25" spans="1:12" ht="21.75" thickBot="1" x14ac:dyDescent="0.3">
      <c r="A25"/>
      <c r="B25" s="147" t="s">
        <v>8</v>
      </c>
      <c r="C25" s="147"/>
      <c r="D25" s="147"/>
      <c r="E25" s="147"/>
      <c r="F25" s="147"/>
      <c r="G25" s="147"/>
      <c r="H25" s="147"/>
      <c r="I25" s="147"/>
      <c r="J25" s="147"/>
    </row>
    <row r="26" spans="1:12" ht="19.5" thickBot="1" x14ac:dyDescent="0.3">
      <c r="A26"/>
      <c r="B26" s="5">
        <v>2</v>
      </c>
      <c r="C26" s="177" t="str">
        <f ca="1">IF(ISBLANK(INDIRECT(ADDRESS(B26*2+2,3))),"",INDIRECT(ADDRESS(B26*2+2,3)))</f>
        <v>Догадин Евгений</v>
      </c>
      <c r="D26" s="177"/>
      <c r="E26" s="178"/>
      <c r="F26" s="24">
        <v>4</v>
      </c>
      <c r="G26" s="25">
        <v>13</v>
      </c>
      <c r="H26" s="181" t="str">
        <f ca="1">IF(ISBLANK(INDIRECT(ADDRESS(J26*2+2,3))),"",INDIRECT(ADDRESS(J26*2+2,3)))</f>
        <v>Гришков Сергей</v>
      </c>
      <c r="I26" s="177"/>
      <c r="J26" s="5">
        <v>1</v>
      </c>
      <c r="K26" s="27" t="s">
        <v>10</v>
      </c>
      <c r="L26" s="57"/>
    </row>
    <row r="27" spans="1:12" ht="30" customHeight="1" x14ac:dyDescent="0.25">
      <c r="A27"/>
    </row>
    <row r="28" spans="1:12" ht="21.75" thickBot="1" x14ac:dyDescent="0.3">
      <c r="A28"/>
      <c r="B28" s="147" t="s">
        <v>94</v>
      </c>
      <c r="C28" s="147"/>
      <c r="D28" s="147"/>
      <c r="E28" s="147"/>
      <c r="F28" s="147"/>
      <c r="G28" s="147"/>
      <c r="H28" s="147"/>
      <c r="I28" s="147"/>
      <c r="J28" s="147"/>
    </row>
    <row r="29" spans="1:12" ht="19.5" thickBot="1" x14ac:dyDescent="0.3">
      <c r="A29"/>
      <c r="B29" s="5">
        <v>1</v>
      </c>
      <c r="C29" s="177" t="str">
        <f ca="1">IF(ISBLANK(INDIRECT(ADDRESS(B29*2+2,3))),"",INDIRECT(ADDRESS(B29*2+2,3)))</f>
        <v>Гришков Сергей</v>
      </c>
      <c r="D29" s="177"/>
      <c r="E29" s="178"/>
      <c r="F29" s="24">
        <v>13</v>
      </c>
      <c r="G29" s="25">
        <v>2</v>
      </c>
      <c r="H29" s="181" t="str">
        <f ca="1">IF(ISBLANK(INDIRECT(ADDRESS(J29*2+2,3))),"",INDIRECT(ADDRESS(J29*2+2,3)))</f>
        <v>Гришков Егор</v>
      </c>
      <c r="I29" s="177"/>
      <c r="J29" s="5">
        <v>3</v>
      </c>
      <c r="K29" s="27" t="s">
        <v>10</v>
      </c>
      <c r="L29" s="57"/>
    </row>
    <row r="30" spans="1:12" x14ac:dyDescent="0.25">
      <c r="A30"/>
    </row>
    <row r="31" spans="1:12" x14ac:dyDescent="0.25">
      <c r="A31"/>
    </row>
    <row r="32" spans="1:12" x14ac:dyDescent="0.25">
      <c r="A32"/>
    </row>
    <row r="33" spans="1:12" x14ac:dyDescent="0.25">
      <c r="A33"/>
      <c r="L33"/>
    </row>
    <row r="34" spans="1:12" x14ac:dyDescent="0.25">
      <c r="A34"/>
      <c r="L34"/>
    </row>
    <row r="35" spans="1:12" x14ac:dyDescent="0.25">
      <c r="A35"/>
      <c r="L35"/>
    </row>
    <row r="36" spans="1:12" x14ac:dyDescent="0.25">
      <c r="A36"/>
      <c r="L36"/>
    </row>
    <row r="37" spans="1:12" x14ac:dyDescent="0.25">
      <c r="A37"/>
      <c r="L37"/>
    </row>
    <row r="38" spans="1:12" x14ac:dyDescent="0.25">
      <c r="A38"/>
      <c r="L38"/>
    </row>
    <row r="39" spans="1:12" x14ac:dyDescent="0.25">
      <c r="A39"/>
      <c r="L39"/>
    </row>
    <row r="40" spans="1:12" x14ac:dyDescent="0.25">
      <c r="A40"/>
      <c r="L40"/>
    </row>
    <row r="41" spans="1:12" x14ac:dyDescent="0.25">
      <c r="A41"/>
      <c r="L41"/>
    </row>
    <row r="42" spans="1:12" x14ac:dyDescent="0.25">
      <c r="A42"/>
      <c r="L42"/>
    </row>
  </sheetData>
  <mergeCells count="32">
    <mergeCell ref="H29:I29"/>
    <mergeCell ref="B22:J22"/>
    <mergeCell ref="C23:E23"/>
    <mergeCell ref="H23:I23"/>
    <mergeCell ref="B25:J25"/>
    <mergeCell ref="H26:I26"/>
    <mergeCell ref="C26:E26"/>
    <mergeCell ref="B28:J28"/>
    <mergeCell ref="C29:E29"/>
    <mergeCell ref="B19:J19"/>
    <mergeCell ref="C20:E20"/>
    <mergeCell ref="B13:J13"/>
    <mergeCell ref="H20:I20"/>
    <mergeCell ref="B6:B7"/>
    <mergeCell ref="C6:E7"/>
    <mergeCell ref="B8:B9"/>
    <mergeCell ref="C8:E9"/>
    <mergeCell ref="I6:I7"/>
    <mergeCell ref="C14:E14"/>
    <mergeCell ref="H14:I14"/>
    <mergeCell ref="B16:J16"/>
    <mergeCell ref="C17:E17"/>
    <mergeCell ref="H17:I17"/>
    <mergeCell ref="B1:J1"/>
    <mergeCell ref="I4:I5"/>
    <mergeCell ref="K4:K5"/>
    <mergeCell ref="K6:K7"/>
    <mergeCell ref="I8:I9"/>
    <mergeCell ref="K8:K9"/>
    <mergeCell ref="C3:E3"/>
    <mergeCell ref="B4:B5"/>
    <mergeCell ref="C4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B1" sqref="B1:M1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57" customWidth="1"/>
    <col min="14" max="15" width="10.28515625" customWidth="1"/>
  </cols>
  <sheetData>
    <row r="1" spans="2:13" customFormat="1" ht="59.25" customHeight="1" x14ac:dyDescent="0.25">
      <c r="B1" s="253" t="s">
        <v>29</v>
      </c>
      <c r="C1" s="253"/>
      <c r="D1" s="253"/>
      <c r="E1" s="253"/>
      <c r="F1" s="253"/>
      <c r="G1" s="253"/>
      <c r="H1" s="253"/>
      <c r="I1" s="253"/>
      <c r="J1" s="253"/>
      <c r="K1" s="253"/>
      <c r="L1" t="s">
        <v>82</v>
      </c>
      <c r="M1" s="31">
        <v>46040</v>
      </c>
    </row>
    <row r="2" spans="2:13" customFormat="1" ht="15.75" thickBot="1" x14ac:dyDescent="0.3"/>
    <row r="3" spans="2:13" customFormat="1" ht="30" customHeight="1" thickBot="1" x14ac:dyDescent="0.3">
      <c r="B3" s="64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64" t="s">
        <v>1</v>
      </c>
      <c r="L3" s="1" t="s">
        <v>3</v>
      </c>
      <c r="M3" s="21" t="s">
        <v>2</v>
      </c>
    </row>
    <row r="4" spans="2:13" customFormat="1" ht="24" customHeight="1" x14ac:dyDescent="0.25">
      <c r="B4" s="131">
        <v>1</v>
      </c>
      <c r="C4" s="133" t="s">
        <v>83</v>
      </c>
      <c r="D4" s="134"/>
      <c r="E4" s="135"/>
      <c r="F4" s="10" t="s">
        <v>24</v>
      </c>
      <c r="G4" s="6" t="str">
        <f ca="1">INDIRECT(ADDRESS(23,6))&amp;":"&amp;INDIRECT(ADDRESS(23,7))</f>
        <v>6:13</v>
      </c>
      <c r="H4" s="6" t="str">
        <f ca="1">INDIRECT(ADDRESS(26,7))&amp;":"&amp;INDIRECT(ADDRESS(26,6))</f>
        <v>13:9</v>
      </c>
      <c r="I4" s="6" t="str">
        <f ca="1">INDIRECT(ADDRESS(30,6))&amp;":"&amp;INDIRECT(ADDRESS(30,7))</f>
        <v>13:5</v>
      </c>
      <c r="J4" s="20" t="str">
        <f ca="1">INDIRECT(ADDRESS(35,7))&amp;":"&amp;INDIRECT(ADDRESS(35,6))</f>
        <v>13:7</v>
      </c>
      <c r="K4" s="150">
        <f ca="1">IF(COUNT(F5:J5)=0,"",COUNTIF(F5:J5,"&gt;0")+0.5*COUNTIF(F5:J5,0))</f>
        <v>3</v>
      </c>
      <c r="L4" s="23"/>
      <c r="M4" s="148">
        <v>2</v>
      </c>
    </row>
    <row r="5" spans="2:13" customFormat="1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COLUMN())))=1,"",INDIRECT(ADDRESS(23,6))-INDIRECT(ADDRESS(23,7)))</f>
        <v>-7</v>
      </c>
      <c r="H5" s="16">
        <f ca="1">IF(LEN(INDIRECT(ADDRESS(ROW()-1, COLUMN())))=1,"",INDIRECT(ADDRESS(26,7))-INDIRECT(ADDRESS(26,6)))</f>
        <v>4</v>
      </c>
      <c r="I5" s="16">
        <f ca="1">IF(LEN(INDIRECT(ADDRESS(ROW()-1, COLUMN())))=1,"",INDIRECT(ADDRESS(30,6))-INDIRECT(ADDRESS(30,7)))</f>
        <v>8</v>
      </c>
      <c r="J5" s="17">
        <f ca="1">IF(LEN(INDIRECT(ADDRESS(ROW()-1, COLUMN())))=1,"",INDIRECT(ADDRESS(35,7))-INDIRECT(ADDRESS(35,6)))</f>
        <v>6</v>
      </c>
      <c r="K5" s="151"/>
      <c r="L5" s="16">
        <f ca="1">IF(COUNT(F5:J5)=0,"",SUM(F5:J5))</f>
        <v>11</v>
      </c>
      <c r="M5" s="149"/>
    </row>
    <row r="6" spans="2:13" customFormat="1" ht="24" customHeight="1" x14ac:dyDescent="0.25">
      <c r="B6" s="139">
        <v>2</v>
      </c>
      <c r="C6" s="136" t="s">
        <v>84</v>
      </c>
      <c r="D6" s="137"/>
      <c r="E6" s="138"/>
      <c r="F6" s="12" t="str">
        <f ca="1">INDIRECT(ADDRESS(23,7))&amp;":"&amp;INDIRECT(ADDRESS(23,6))</f>
        <v>13:6</v>
      </c>
      <c r="G6" s="8" t="s">
        <v>24</v>
      </c>
      <c r="H6" s="7" t="str">
        <f ca="1">INDIRECT(ADDRESS(31,6))&amp;":"&amp;INDIRECT(ADDRESS(31,7))</f>
        <v>7:13</v>
      </c>
      <c r="I6" s="7" t="str">
        <f ca="1">INDIRECT(ADDRESS(34,7))&amp;":"&amp;INDIRECT(ADDRESS(34,6))</f>
        <v>13:12</v>
      </c>
      <c r="J6" s="11" t="str">
        <f ca="1">INDIRECT(ADDRESS(18,6))&amp;":"&amp;INDIRECT(ADDRESS(18,7))</f>
        <v>13:2</v>
      </c>
      <c r="K6" s="151">
        <f ca="1">IF(COUNT(F7:J7)=0,"",COUNTIF(F7:J7,"&gt;0")+0.5*COUNTIF(F7:J7,0))</f>
        <v>3</v>
      </c>
      <c r="L6" s="16"/>
      <c r="M6" s="149">
        <v>1</v>
      </c>
    </row>
    <row r="7" spans="2:13" customFormat="1" ht="24" customHeight="1" x14ac:dyDescent="0.25">
      <c r="B7" s="132"/>
      <c r="C7" s="136"/>
      <c r="D7" s="137"/>
      <c r="E7" s="138"/>
      <c r="F7" s="22">
        <f ca="1">IF(LEN(INDIRECT(ADDRESS(ROW()-1, COLUMN())))=1,"",INDIRECT(ADDRESS(23,7))-INDIRECT(ADDRESS(23,6)))</f>
        <v>7</v>
      </c>
      <c r="G7" s="14" t="s">
        <v>24</v>
      </c>
      <c r="H7" s="16">
        <f ca="1">IF(LEN(INDIRECT(ADDRESS(ROW()-1, COLUMN())))=1,"",INDIRECT(ADDRESS(31,6))-INDIRECT(ADDRESS(31,7)))</f>
        <v>-6</v>
      </c>
      <c r="I7" s="16">
        <f ca="1">IF(LEN(INDIRECT(ADDRESS(ROW()-1, COLUMN())))=1,"",INDIRECT(ADDRESS(34,7))-INDIRECT(ADDRESS(34,6)))</f>
        <v>1</v>
      </c>
      <c r="J7" s="17">
        <f ca="1">IF(LEN(INDIRECT(ADDRESS(ROW()-1, COLUMN())))=1,"",INDIRECT(ADDRESS(18,6))-INDIRECT(ADDRESS(18,7)))</f>
        <v>11</v>
      </c>
      <c r="K7" s="151"/>
      <c r="L7" s="16">
        <f ca="1">IF(COUNT(F7:J7)=0,"",SUM(F7:J7))</f>
        <v>13</v>
      </c>
      <c r="M7" s="149"/>
    </row>
    <row r="8" spans="2:13" customFormat="1" ht="24" customHeight="1" x14ac:dyDescent="0.25">
      <c r="B8" s="139">
        <v>3</v>
      </c>
      <c r="C8" s="152" t="s">
        <v>85</v>
      </c>
      <c r="D8" s="153"/>
      <c r="E8" s="154"/>
      <c r="F8" s="12" t="str">
        <f ca="1">INDIRECT(ADDRESS(26,6))&amp;":"&amp;INDIRECT(ADDRESS(26,7))</f>
        <v>9:13</v>
      </c>
      <c r="G8" s="7" t="str">
        <f ca="1">INDIRECT(ADDRESS(31,7))&amp;":"&amp;INDIRECT(ADDRESS(31,6))</f>
        <v>13:7</v>
      </c>
      <c r="H8" s="8" t="s">
        <v>24</v>
      </c>
      <c r="I8" s="7" t="str">
        <f ca="1">INDIRECT(ADDRESS(19,6))&amp;":"&amp;INDIRECT(ADDRESS(19,7))</f>
        <v>11:13</v>
      </c>
      <c r="J8" s="11" t="str">
        <f ca="1">INDIRECT(ADDRESS(22,7))&amp;":"&amp;INDIRECT(ADDRESS(22,6))</f>
        <v>13:9</v>
      </c>
      <c r="K8" s="151">
        <f ca="1">IF(COUNT(F9:J9)=0,"",COUNTIF(F9:J9,"&gt;0")+0.5*COUNTIF(F9:J9,0))</f>
        <v>2</v>
      </c>
      <c r="L8" s="16"/>
      <c r="M8" s="149">
        <v>3</v>
      </c>
    </row>
    <row r="9" spans="2:13" customFormat="1" ht="24" customHeight="1" x14ac:dyDescent="0.25">
      <c r="B9" s="132"/>
      <c r="C9" s="152"/>
      <c r="D9" s="153"/>
      <c r="E9" s="154"/>
      <c r="F9" s="22">
        <f ca="1">IF(LEN(INDIRECT(ADDRESS(ROW()-1, COLUMN())))=1,"",INDIRECT(ADDRESS(26,6))-INDIRECT(ADDRESS(26,7)))</f>
        <v>-4</v>
      </c>
      <c r="G9" s="16">
        <f ca="1">IF(LEN(INDIRECT(ADDRESS(ROW()-1, COLUMN())))=1,"",INDIRECT(ADDRESS(31,7))-INDIRECT(ADDRESS(31,6)))</f>
        <v>6</v>
      </c>
      <c r="H9" s="14" t="s">
        <v>24</v>
      </c>
      <c r="I9" s="16">
        <f ca="1">IF(LEN(INDIRECT(ADDRESS(ROW()-1, COLUMN())))=1,"",INDIRECT(ADDRESS(19,6))-INDIRECT(ADDRESS(19,7)))</f>
        <v>-2</v>
      </c>
      <c r="J9" s="17">
        <f ca="1">IF(LEN(INDIRECT(ADDRESS(ROW()-1, COLUMN())))=1,"",INDIRECT(ADDRESS(22,7))-INDIRECT(ADDRESS(22,6)))</f>
        <v>4</v>
      </c>
      <c r="K9" s="151"/>
      <c r="L9" s="16">
        <f ca="1">IF(COUNT(F9:J9)=0,"",SUM(F9:J9))</f>
        <v>4</v>
      </c>
      <c r="M9" s="149"/>
    </row>
    <row r="10" spans="2:13" customFormat="1" ht="24" customHeight="1" x14ac:dyDescent="0.25">
      <c r="B10" s="139">
        <v>4</v>
      </c>
      <c r="C10" s="140" t="s">
        <v>86</v>
      </c>
      <c r="D10" s="141"/>
      <c r="E10" s="142"/>
      <c r="F10" s="12" t="str">
        <f ca="1">INDIRECT(ADDRESS(30,7))&amp;":"&amp;INDIRECT(ADDRESS(30,6))</f>
        <v>5:13</v>
      </c>
      <c r="G10" s="7" t="str">
        <f ca="1">INDIRECT(ADDRESS(34,6))&amp;":"&amp;INDIRECT(ADDRESS(34,7))</f>
        <v>12:13</v>
      </c>
      <c r="H10" s="7" t="str">
        <f ca="1">INDIRECT(ADDRESS(19,7))&amp;":"&amp;INDIRECT(ADDRESS(19,6))</f>
        <v>13:11</v>
      </c>
      <c r="I10" s="8" t="s">
        <v>24</v>
      </c>
      <c r="J10" s="11" t="str">
        <f ca="1">INDIRECT(ADDRESS(27,6))&amp;":"&amp;INDIRECT(ADDRESS(27,7))</f>
        <v>11:13</v>
      </c>
      <c r="K10" s="151">
        <f ca="1">IF(COUNT(F11:J11)=0,"",COUNTIF(F11:J11,"&gt;0")+0.5*COUNTIF(F11:J11,0))</f>
        <v>1</v>
      </c>
      <c r="L10" s="16"/>
      <c r="M10" s="149">
        <v>5</v>
      </c>
    </row>
    <row r="11" spans="2:13" customFormat="1" ht="24" customHeight="1" x14ac:dyDescent="0.25">
      <c r="B11" s="132"/>
      <c r="C11" s="140"/>
      <c r="D11" s="141"/>
      <c r="E11" s="142"/>
      <c r="F11" s="22">
        <f ca="1">IF(LEN(INDIRECT(ADDRESS(ROW()-1, COLUMN())))=1,"",INDIRECT(ADDRESS(30,7))-INDIRECT(ADDRESS(30,6)))</f>
        <v>-8</v>
      </c>
      <c r="G11" s="16">
        <f ca="1">IF(LEN(INDIRECT(ADDRESS(ROW()-1, COLUMN())))=1,"",INDIRECT(ADDRESS(34,6))-INDIRECT(ADDRESS(34,7)))</f>
        <v>-1</v>
      </c>
      <c r="H11" s="16">
        <f ca="1">IF(LEN(INDIRECT(ADDRESS(ROW()-1, COLUMN())))=1,"",INDIRECT(ADDRESS(19,7))-INDIRECT(ADDRESS(19,6)))</f>
        <v>2</v>
      </c>
      <c r="I11" s="14" t="s">
        <v>24</v>
      </c>
      <c r="J11" s="17">
        <f ca="1">IF(LEN(INDIRECT(ADDRESS(ROW()-1, COLUMN())))=1,"",INDIRECT(ADDRESS(27,6))-INDIRECT(ADDRESS(27,7)))</f>
        <v>-2</v>
      </c>
      <c r="K11" s="151"/>
      <c r="L11" s="16">
        <f ca="1">IF(COUNT(F11:J11)=0,"",SUM(F11:J11))</f>
        <v>-9</v>
      </c>
      <c r="M11" s="149"/>
    </row>
    <row r="12" spans="2:13" customFormat="1" ht="24" customHeight="1" x14ac:dyDescent="0.25">
      <c r="B12" s="139">
        <v>5</v>
      </c>
      <c r="C12" s="140" t="s">
        <v>87</v>
      </c>
      <c r="D12" s="141"/>
      <c r="E12" s="142"/>
      <c r="F12" s="12" t="str">
        <f ca="1">INDIRECT(ADDRESS(35,6))&amp;":"&amp;INDIRECT(ADDRESS(35,7))</f>
        <v>7:13</v>
      </c>
      <c r="G12" s="7" t="str">
        <f ca="1">INDIRECT(ADDRESS(18,7))&amp;":"&amp;INDIRECT(ADDRESS(18,6))</f>
        <v>2:13</v>
      </c>
      <c r="H12" s="7" t="str">
        <f ca="1">INDIRECT(ADDRESS(22,6))&amp;":"&amp;INDIRECT(ADDRESS(22,7))</f>
        <v>9:13</v>
      </c>
      <c r="I12" s="7" t="str">
        <f ca="1">INDIRECT(ADDRESS(27,7))&amp;":"&amp;INDIRECT(ADDRESS(27,6))</f>
        <v>13:11</v>
      </c>
      <c r="J12" s="34" t="s">
        <v>24</v>
      </c>
      <c r="K12" s="151">
        <f ca="1">IF(COUNT(F13:J13)=0,"",COUNTIF(F13:J13,"&gt;0")+0.5*COUNTIF(F13:J13,0))</f>
        <v>1</v>
      </c>
      <c r="L12" s="16"/>
      <c r="M12" s="149">
        <v>4</v>
      </c>
    </row>
    <row r="13" spans="2:13" customFormat="1" ht="24" customHeight="1" thickBot="1" x14ac:dyDescent="0.3">
      <c r="B13" s="143"/>
      <c r="C13" s="144"/>
      <c r="D13" s="145"/>
      <c r="E13" s="146"/>
      <c r="F13" s="19">
        <f ca="1">IF(LEN(INDIRECT(ADDRESS(ROW()-1, COLUMN())))=1,"",INDIRECT(ADDRESS(35,6))-INDIRECT(ADDRESS(35,7)))</f>
        <v>-6</v>
      </c>
      <c r="G13" s="18">
        <f ca="1">IF(LEN(INDIRECT(ADDRESS(ROW()-1, COLUMN())))=1,"",INDIRECT(ADDRESS(18,7))-INDIRECT(ADDRESS(18,6)))</f>
        <v>-11</v>
      </c>
      <c r="H13" s="18">
        <f ca="1">IF(LEN(INDIRECT(ADDRESS(ROW()-1, COLUMN())))=1,"",INDIRECT(ADDRESS(22,6))-INDIRECT(ADDRESS(22,7)))</f>
        <v>-4</v>
      </c>
      <c r="I13" s="18">
        <f ca="1">IF(LEN(INDIRECT(ADDRESS(ROW()-1, COLUMN())))=1,"",INDIRECT(ADDRESS(27,7))-INDIRECT(ADDRESS(27,6)))</f>
        <v>2</v>
      </c>
      <c r="J13" s="15" t="s">
        <v>24</v>
      </c>
      <c r="K13" s="156"/>
      <c r="L13" s="18">
        <f ca="1">IF(COUNT(F13:J13)=0,"",SUM(F13:J13))</f>
        <v>-19</v>
      </c>
      <c r="M13" s="155"/>
    </row>
    <row r="14" spans="2:13" customFormat="1" x14ac:dyDescent="0.25"/>
    <row r="15" spans="2:13" customFormat="1" x14ac:dyDescent="0.25"/>
    <row r="16" spans="2:13" customFormat="1" x14ac:dyDescent="0.25"/>
    <row r="17" spans="1:13" ht="30" customHeight="1" thickBot="1" x14ac:dyDescent="0.3">
      <c r="A17"/>
      <c r="B17" s="147" t="s">
        <v>4</v>
      </c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3" ht="30" customHeight="1" thickBot="1" x14ac:dyDescent="0.3">
      <c r="A18"/>
      <c r="B18" s="5">
        <v>2</v>
      </c>
      <c r="C18" s="177" t="str">
        <f ca="1">IF(ISBLANK(INDIRECT(ADDRESS(B18*2+2,3))),"",INDIRECT(ADDRESS(B18*2+2,3)))</f>
        <v>Базарев Дмитрий</v>
      </c>
      <c r="D18" s="177"/>
      <c r="E18" s="178"/>
      <c r="F18" s="24">
        <v>13</v>
      </c>
      <c r="G18" s="25">
        <v>2</v>
      </c>
      <c r="H18" s="181" t="str">
        <f ca="1">IF(ISBLANK(INDIRECT(ADDRESS(K18*2+2,3))),"",INDIRECT(ADDRESS(K18*2+2,3)))</f>
        <v>Волков Денис</v>
      </c>
      <c r="I18" s="177"/>
      <c r="J18" s="177"/>
      <c r="K18" s="5">
        <v>5</v>
      </c>
      <c r="L18" s="27" t="s">
        <v>10</v>
      </c>
      <c r="M18" s="63">
        <v>1</v>
      </c>
    </row>
    <row r="19" spans="1:13" ht="30" customHeight="1" thickBot="1" x14ac:dyDescent="0.3">
      <c r="A19"/>
      <c r="B19" s="5">
        <v>3</v>
      </c>
      <c r="C19" s="177" t="str">
        <f ca="1">IF(ISBLANK(INDIRECT(ADDRESS(B19*2+2,3))),"",INDIRECT(ADDRESS(B19*2+2,3)))</f>
        <v>Тихонов Дмитрий</v>
      </c>
      <c r="D19" s="177"/>
      <c r="E19" s="178"/>
      <c r="F19" s="24">
        <v>11</v>
      </c>
      <c r="G19" s="25">
        <v>13</v>
      </c>
      <c r="H19" s="181" t="str">
        <f ca="1">IF(ISBLANK(INDIRECT(ADDRESS(K19*2+2,3))),"",INDIRECT(ADDRESS(K19*2+2,3)))</f>
        <v>Кузьмин Дмитрий</v>
      </c>
      <c r="I19" s="177"/>
      <c r="J19" s="177"/>
      <c r="K19" s="5">
        <v>4</v>
      </c>
      <c r="L19" s="27" t="s">
        <v>10</v>
      </c>
      <c r="M19" s="63">
        <v>2</v>
      </c>
    </row>
    <row r="20" spans="1:13" ht="30" customHeight="1" x14ac:dyDescent="0.35">
      <c r="A20"/>
      <c r="M20" s="41"/>
    </row>
    <row r="21" spans="1:13" ht="30" customHeight="1" thickBot="1" x14ac:dyDescent="0.4">
      <c r="A21"/>
      <c r="B21" s="147" t="s">
        <v>5</v>
      </c>
      <c r="C21" s="147"/>
      <c r="D21" s="147"/>
      <c r="E21" s="147"/>
      <c r="F21" s="147"/>
      <c r="G21" s="147"/>
      <c r="H21" s="147"/>
      <c r="I21" s="147"/>
      <c r="J21" s="147"/>
      <c r="K21" s="147"/>
      <c r="M21" s="41"/>
    </row>
    <row r="22" spans="1:13" ht="30" customHeight="1" thickBot="1" x14ac:dyDescent="0.3">
      <c r="A22"/>
      <c r="B22" s="5">
        <v>5</v>
      </c>
      <c r="C22" s="177" t="str">
        <f ca="1">IF(ISBLANK(INDIRECT(ADDRESS(B22*2+2,3))),"",INDIRECT(ADDRESS(B22*2+2,3)))</f>
        <v>Волков Денис</v>
      </c>
      <c r="D22" s="177"/>
      <c r="E22" s="178"/>
      <c r="F22" s="24">
        <v>9</v>
      </c>
      <c r="G22" s="25">
        <v>13</v>
      </c>
      <c r="H22" s="181" t="str">
        <f ca="1">IF(ISBLANK(INDIRECT(ADDRESS(K22*2+2,3))),"",INDIRECT(ADDRESS(K22*2+2,3)))</f>
        <v>Тихонов Дмитрий</v>
      </c>
      <c r="I22" s="177"/>
      <c r="J22" s="177"/>
      <c r="K22" s="5">
        <v>3</v>
      </c>
      <c r="L22" s="27" t="s">
        <v>10</v>
      </c>
      <c r="M22" s="63">
        <v>4</v>
      </c>
    </row>
    <row r="23" spans="1:13" ht="30" customHeight="1" thickBot="1" x14ac:dyDescent="0.3">
      <c r="A23"/>
      <c r="B23" s="5">
        <v>1</v>
      </c>
      <c r="C23" s="177" t="str">
        <f ca="1">IF(ISBLANK(INDIRECT(ADDRESS(B23*2+2,3))),"",INDIRECT(ADDRESS(B23*2+2,3)))</f>
        <v>Воронов Олег</v>
      </c>
      <c r="D23" s="177"/>
      <c r="E23" s="178"/>
      <c r="F23" s="24">
        <v>6</v>
      </c>
      <c r="G23" s="25">
        <v>13</v>
      </c>
      <c r="H23" s="181" t="str">
        <f ca="1">IF(ISBLANK(INDIRECT(ADDRESS(K23*2+2,3))),"",INDIRECT(ADDRESS(K23*2+2,3)))</f>
        <v>Базарев Дмитрий</v>
      </c>
      <c r="I23" s="177"/>
      <c r="J23" s="177"/>
      <c r="K23" s="5">
        <v>2</v>
      </c>
      <c r="L23" s="27" t="s">
        <v>10</v>
      </c>
      <c r="M23" s="63">
        <v>5</v>
      </c>
    </row>
    <row r="24" spans="1:13" ht="30" customHeight="1" x14ac:dyDescent="0.35">
      <c r="A24"/>
      <c r="M24" s="41"/>
    </row>
    <row r="25" spans="1:13" ht="30" customHeight="1" thickBot="1" x14ac:dyDescent="0.4">
      <c r="A25"/>
      <c r="B25" s="147" t="s">
        <v>6</v>
      </c>
      <c r="C25" s="147"/>
      <c r="D25" s="147"/>
      <c r="E25" s="147"/>
      <c r="F25" s="147"/>
      <c r="G25" s="147"/>
      <c r="H25" s="147"/>
      <c r="I25" s="147"/>
      <c r="J25" s="147"/>
      <c r="K25" s="147"/>
      <c r="M25" s="41"/>
    </row>
    <row r="26" spans="1:13" ht="30" customHeight="1" thickBot="1" x14ac:dyDescent="0.3">
      <c r="A26"/>
      <c r="B26" s="5">
        <v>3</v>
      </c>
      <c r="C26" s="177" t="str">
        <f ca="1">IF(ISBLANK(INDIRECT(ADDRESS(B26*2+2,3))),"",INDIRECT(ADDRESS(B26*2+2,3)))</f>
        <v>Тихонов Дмитрий</v>
      </c>
      <c r="D26" s="177"/>
      <c r="E26" s="178"/>
      <c r="F26" s="24">
        <v>9</v>
      </c>
      <c r="G26" s="25">
        <v>13</v>
      </c>
      <c r="H26" s="181" t="str">
        <f ca="1">IF(ISBLANK(INDIRECT(ADDRESS(K26*2+2,3))),"",INDIRECT(ADDRESS(K26*2+2,3)))</f>
        <v>Воронов Олег</v>
      </c>
      <c r="I26" s="177"/>
      <c r="J26" s="177"/>
      <c r="K26" s="5">
        <v>1</v>
      </c>
      <c r="L26" s="27" t="s">
        <v>10</v>
      </c>
      <c r="M26" s="63">
        <v>1</v>
      </c>
    </row>
    <row r="27" spans="1:13" ht="30" customHeight="1" thickBot="1" x14ac:dyDescent="0.3">
      <c r="A27"/>
      <c r="B27" s="5">
        <v>4</v>
      </c>
      <c r="C27" s="177" t="str">
        <f ca="1">IF(ISBLANK(INDIRECT(ADDRESS(B27*2+2,3))),"",INDIRECT(ADDRESS(B27*2+2,3)))</f>
        <v>Кузьмин Дмитрий</v>
      </c>
      <c r="D27" s="177"/>
      <c r="E27" s="178"/>
      <c r="F27" s="24">
        <v>11</v>
      </c>
      <c r="G27" s="25">
        <v>13</v>
      </c>
      <c r="H27" s="181" t="str">
        <f ca="1">IF(ISBLANK(INDIRECT(ADDRESS(K27*2+2,3))),"",INDIRECT(ADDRESS(K27*2+2,3)))</f>
        <v>Волков Денис</v>
      </c>
      <c r="I27" s="177"/>
      <c r="J27" s="177"/>
      <c r="K27" s="5">
        <v>5</v>
      </c>
      <c r="L27" s="27" t="s">
        <v>10</v>
      </c>
      <c r="M27" s="63">
        <v>3</v>
      </c>
    </row>
    <row r="28" spans="1:13" ht="30" customHeight="1" x14ac:dyDescent="0.35">
      <c r="A28"/>
      <c r="M28" s="41"/>
    </row>
    <row r="29" spans="1:13" ht="30" customHeight="1" thickBot="1" x14ac:dyDescent="0.4">
      <c r="A29"/>
      <c r="B29" s="147" t="s">
        <v>7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ht="30" customHeight="1" thickBot="1" x14ac:dyDescent="0.3">
      <c r="A30"/>
      <c r="B30" s="5">
        <v>1</v>
      </c>
      <c r="C30" s="177" t="str">
        <f ca="1">IF(ISBLANK(INDIRECT(ADDRESS(B30*2+2,3))),"",INDIRECT(ADDRESS(B30*2+2,3)))</f>
        <v>Воронов Олег</v>
      </c>
      <c r="D30" s="177"/>
      <c r="E30" s="178"/>
      <c r="F30" s="24">
        <v>13</v>
      </c>
      <c r="G30" s="25">
        <v>5</v>
      </c>
      <c r="H30" s="181" t="str">
        <f ca="1">IF(ISBLANK(INDIRECT(ADDRESS(K30*2+2,3))),"",INDIRECT(ADDRESS(K30*2+2,3)))</f>
        <v>Кузьмин Дмитрий</v>
      </c>
      <c r="I30" s="177"/>
      <c r="J30" s="177"/>
      <c r="K30" s="5">
        <v>4</v>
      </c>
      <c r="L30" s="27" t="s">
        <v>10</v>
      </c>
      <c r="M30" s="63">
        <v>4</v>
      </c>
    </row>
    <row r="31" spans="1:13" ht="30" customHeight="1" thickBot="1" x14ac:dyDescent="0.3">
      <c r="A31"/>
      <c r="B31" s="5">
        <v>2</v>
      </c>
      <c r="C31" s="177" t="str">
        <f ca="1">IF(ISBLANK(INDIRECT(ADDRESS(B31*2+2,3))),"",INDIRECT(ADDRESS(B31*2+2,3)))</f>
        <v>Базарев Дмитрий</v>
      </c>
      <c r="D31" s="177"/>
      <c r="E31" s="178"/>
      <c r="F31" s="24">
        <v>7</v>
      </c>
      <c r="G31" s="25">
        <v>13</v>
      </c>
      <c r="H31" s="181" t="str">
        <f ca="1">IF(ISBLANK(INDIRECT(ADDRESS(K31*2+2,3))),"",INDIRECT(ADDRESS(K31*2+2,3)))</f>
        <v>Тихонов Дмитрий</v>
      </c>
      <c r="I31" s="177"/>
      <c r="J31" s="177"/>
      <c r="K31" s="5">
        <v>3</v>
      </c>
      <c r="L31" s="27" t="s">
        <v>10</v>
      </c>
      <c r="M31" s="63">
        <v>6</v>
      </c>
    </row>
    <row r="32" spans="1:13" ht="30" customHeight="1" x14ac:dyDescent="0.35">
      <c r="A32"/>
      <c r="M32" s="41"/>
    </row>
    <row r="33" spans="1:13" ht="30" customHeight="1" thickBot="1" x14ac:dyDescent="0.4">
      <c r="A33"/>
      <c r="B33" s="147" t="s">
        <v>8</v>
      </c>
      <c r="C33" s="147"/>
      <c r="D33" s="147"/>
      <c r="E33" s="147"/>
      <c r="F33" s="147"/>
      <c r="G33" s="147"/>
      <c r="H33" s="147"/>
      <c r="I33" s="147"/>
      <c r="J33" s="147"/>
      <c r="K33" s="147"/>
      <c r="M33" s="41"/>
    </row>
    <row r="34" spans="1:13" ht="30" customHeight="1" thickBot="1" x14ac:dyDescent="0.3">
      <c r="A34"/>
      <c r="B34" s="5">
        <v>4</v>
      </c>
      <c r="C34" s="177" t="str">
        <f ca="1">IF(ISBLANK(INDIRECT(ADDRESS(B34*2+2,3))),"",INDIRECT(ADDRESS(B34*2+2,3)))</f>
        <v>Кузьмин Дмитрий</v>
      </c>
      <c r="D34" s="177"/>
      <c r="E34" s="178"/>
      <c r="F34" s="24">
        <v>12</v>
      </c>
      <c r="G34" s="25">
        <v>13</v>
      </c>
      <c r="H34" s="181" t="str">
        <f ca="1">IF(ISBLANK(INDIRECT(ADDRESS(K34*2+2,3))),"",INDIRECT(ADDRESS(K34*2+2,3)))</f>
        <v>Базарев Дмитрий</v>
      </c>
      <c r="I34" s="177"/>
      <c r="J34" s="177"/>
      <c r="K34" s="5">
        <v>2</v>
      </c>
      <c r="L34" s="27" t="s">
        <v>10</v>
      </c>
      <c r="M34" s="63">
        <v>1</v>
      </c>
    </row>
    <row r="35" spans="1:13" ht="30" customHeight="1" thickBot="1" x14ac:dyDescent="0.3">
      <c r="A35"/>
      <c r="B35" s="5">
        <v>5</v>
      </c>
      <c r="C35" s="177" t="str">
        <f ca="1">IF(ISBLANK(INDIRECT(ADDRESS(B35*2+2,3))),"",INDIRECT(ADDRESS(B35*2+2,3)))</f>
        <v>Волков Денис</v>
      </c>
      <c r="D35" s="177"/>
      <c r="E35" s="178"/>
      <c r="F35" s="24">
        <v>7</v>
      </c>
      <c r="G35" s="25">
        <v>13</v>
      </c>
      <c r="H35" s="181" t="str">
        <f ca="1">IF(ISBLANK(INDIRECT(ADDRESS(K35*2+2,3))),"",INDIRECT(ADDRESS(K35*2+2,3)))</f>
        <v>Воронов Олег</v>
      </c>
      <c r="I35" s="177"/>
      <c r="J35" s="177"/>
      <c r="K35" s="5">
        <v>1</v>
      </c>
      <c r="L35" s="27" t="s">
        <v>10</v>
      </c>
      <c r="M35" s="63">
        <v>2</v>
      </c>
    </row>
    <row r="36" spans="1:13" x14ac:dyDescent="0.25">
      <c r="A36"/>
    </row>
    <row r="37" spans="1:13" x14ac:dyDescent="0.25">
      <c r="A37"/>
    </row>
    <row r="38" spans="1:13" x14ac:dyDescent="0.25">
      <c r="A38"/>
    </row>
    <row r="39" spans="1:13" x14ac:dyDescent="0.25">
      <c r="A39"/>
    </row>
    <row r="40" spans="1:13" x14ac:dyDescent="0.25">
      <c r="A40"/>
    </row>
    <row r="41" spans="1:13" x14ac:dyDescent="0.25">
      <c r="A41"/>
    </row>
    <row r="42" spans="1:13" x14ac:dyDescent="0.25">
      <c r="A42"/>
    </row>
  </sheetData>
  <mergeCells count="47">
    <mergeCell ref="C23:E23"/>
    <mergeCell ref="H23:J23"/>
    <mergeCell ref="B25:K25"/>
    <mergeCell ref="B33:K33"/>
    <mergeCell ref="C34:E34"/>
    <mergeCell ref="H34:J34"/>
    <mergeCell ref="C27:E27"/>
    <mergeCell ref="H27:J27"/>
    <mergeCell ref="C30:E30"/>
    <mergeCell ref="H30:J30"/>
    <mergeCell ref="C26:E26"/>
    <mergeCell ref="H26:J26"/>
    <mergeCell ref="B29:K29"/>
    <mergeCell ref="C31:E31"/>
    <mergeCell ref="H31:J31"/>
    <mergeCell ref="C35:E35"/>
    <mergeCell ref="H35:J35"/>
    <mergeCell ref="B1:K1"/>
    <mergeCell ref="C3:E3"/>
    <mergeCell ref="B4:B5"/>
    <mergeCell ref="C4:E5"/>
    <mergeCell ref="K4:K5"/>
    <mergeCell ref="B6:B7"/>
    <mergeCell ref="C6:E7"/>
    <mergeCell ref="B8:B9"/>
    <mergeCell ref="C8:E9"/>
    <mergeCell ref="B10:B11"/>
    <mergeCell ref="C10:E11"/>
    <mergeCell ref="B12:B13"/>
    <mergeCell ref="C12:E13"/>
    <mergeCell ref="K10:K11"/>
    <mergeCell ref="M4:M5"/>
    <mergeCell ref="K6:K7"/>
    <mergeCell ref="M6:M7"/>
    <mergeCell ref="K8:K9"/>
    <mergeCell ref="M8:M9"/>
    <mergeCell ref="K12:K13"/>
    <mergeCell ref="M10:M11"/>
    <mergeCell ref="M12:M13"/>
    <mergeCell ref="C22:E22"/>
    <mergeCell ref="H22:J22"/>
    <mergeCell ref="B17:K17"/>
    <mergeCell ref="C18:E18"/>
    <mergeCell ref="H18:J18"/>
    <mergeCell ref="C19:E19"/>
    <mergeCell ref="H19:J19"/>
    <mergeCell ref="B21:K2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C10" sqref="C10:E11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27" t="s">
        <v>40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18</v>
      </c>
      <c r="M1" t="s">
        <v>44</v>
      </c>
      <c r="N1" s="31">
        <v>46040</v>
      </c>
    </row>
    <row r="2" spans="2:14" ht="15.75" thickBot="1" x14ac:dyDescent="0.3">
      <c r="M2"/>
    </row>
    <row r="3" spans="2:14" ht="30" customHeight="1" thickBot="1" x14ac:dyDescent="0.3">
      <c r="B3" s="45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31">
        <v>1</v>
      </c>
      <c r="C4" s="254" t="s">
        <v>88</v>
      </c>
      <c r="D4" s="255"/>
      <c r="E4" s="256"/>
      <c r="F4" s="10" t="s">
        <v>24</v>
      </c>
      <c r="G4" s="6" t="str">
        <f ca="1">INDIRECT(ADDRESS(27,6))&amp;":"&amp;INDIRECT(ADDRESS(27,7))</f>
        <v>6:8</v>
      </c>
      <c r="H4" s="6" t="str">
        <f ca="1">INDIRECT(ADDRESS(31,7))&amp;":"&amp;INDIRECT(ADDRESS(31,6))</f>
        <v>5:13</v>
      </c>
      <c r="I4" s="6" t="str">
        <f ca="1">INDIRECT(ADDRESS(36,6))&amp;":"&amp;INDIRECT(ADDRESS(36,7))</f>
        <v>5:13</v>
      </c>
      <c r="J4" s="6" t="str">
        <f ca="1">INDIRECT(ADDRESS(42,7))&amp;":"&amp;INDIRECT(ADDRESS(42,6))</f>
        <v>13:1</v>
      </c>
      <c r="K4" s="20" t="str">
        <f ca="1">INDIRECT(ADDRESS(20,6))&amp;":"&amp;INDIRECT(ADDRESS(20,7))</f>
        <v>8:7</v>
      </c>
      <c r="L4" s="244">
        <f ca="1">IF(COUNT(F5:K5)=0,"",COUNTIF(F5:K5,"&gt;0")+0.5*COUNTIF(F5:K5,0))</f>
        <v>2</v>
      </c>
      <c r="M4" s="23"/>
      <c r="N4" s="219">
        <v>4</v>
      </c>
    </row>
    <row r="5" spans="2:14" ht="24" customHeight="1" x14ac:dyDescent="0.25">
      <c r="B5" s="132"/>
      <c r="C5" s="140"/>
      <c r="D5" s="141"/>
      <c r="E5" s="142"/>
      <c r="F5" s="13" t="s">
        <v>24</v>
      </c>
      <c r="G5" s="16">
        <f ca="1">IF(LEN(INDIRECT(ADDRESS(ROW()-1, COLUMN())))=1,"",INDIRECT(ADDRESS(27,6))-INDIRECT(ADDRESS(27,7)))</f>
        <v>-2</v>
      </c>
      <c r="H5" s="16">
        <f ca="1">IF(LEN(INDIRECT(ADDRESS(ROW()-1, COLUMN())))=1,"",INDIRECT(ADDRESS(31,7))-INDIRECT(ADDRESS(31,6)))</f>
        <v>-8</v>
      </c>
      <c r="I5" s="16">
        <f ca="1">IF(LEN(INDIRECT(ADDRESS(ROW()-1, COLUMN())))=1,"",INDIRECT(ADDRESS(36,6))-INDIRECT(ADDRESS(36,7)))</f>
        <v>-8</v>
      </c>
      <c r="J5" s="16">
        <f ca="1">IF(LEN(INDIRECT(ADDRESS(ROW()-1, COLUMN())))=1,"",INDIRECT(ADDRESS(42,7))-INDIRECT(ADDRESS(42,6)))</f>
        <v>12</v>
      </c>
      <c r="K5" s="17">
        <f ca="1">IF(LEN(INDIRECT(ADDRESS(ROW()-1, COLUMN())))=1,"",INDIRECT(ADDRESS(20,6))-INDIRECT(ADDRESS(20,7)))</f>
        <v>1</v>
      </c>
      <c r="L5" s="245"/>
      <c r="M5" s="16">
        <f ca="1">IF(COUNT(F5:K5)=0,"",SUM(F5:K5))</f>
        <v>-5</v>
      </c>
      <c r="N5" s="221"/>
    </row>
    <row r="6" spans="2:14" ht="24" customHeight="1" x14ac:dyDescent="0.25">
      <c r="B6" s="139">
        <v>2</v>
      </c>
      <c r="C6" s="136" t="s">
        <v>89</v>
      </c>
      <c r="D6" s="137"/>
      <c r="E6" s="138"/>
      <c r="F6" s="12" t="str">
        <f ca="1">INDIRECT(ADDRESS(27,7))&amp;":"&amp;INDIRECT(ADDRESS(27,6))</f>
        <v>8:6</v>
      </c>
      <c r="G6" s="8" t="s">
        <v>24</v>
      </c>
      <c r="H6" s="7" t="str">
        <f ca="1">INDIRECT(ADDRESS(37,6))&amp;":"&amp;INDIRECT(ADDRESS(37,7))</f>
        <v>9:7</v>
      </c>
      <c r="I6" s="7" t="str">
        <f ca="1">INDIRECT(ADDRESS(41,7))&amp;":"&amp;INDIRECT(ADDRESS(41,6))</f>
        <v>10:9</v>
      </c>
      <c r="J6" s="7" t="str">
        <f ca="1">INDIRECT(ADDRESS(21,6))&amp;":"&amp;INDIRECT(ADDRESS(21,7))</f>
        <v>13:6</v>
      </c>
      <c r="K6" s="11" t="str">
        <f ca="1">INDIRECT(ADDRESS(30,6))&amp;":"&amp;INDIRECT(ADDRESS(30,7))</f>
        <v>8:7</v>
      </c>
      <c r="L6" s="245">
        <f ca="1">IF(COUNT(F7:K7)=0,"",COUNTIF(F7:K7,"&gt;0")+0.5*COUNTIF(F7:K7,0))</f>
        <v>5</v>
      </c>
      <c r="M6" s="16"/>
      <c r="N6" s="246">
        <v>1</v>
      </c>
    </row>
    <row r="7" spans="2:14" ht="24" customHeight="1" x14ac:dyDescent="0.25">
      <c r="B7" s="132"/>
      <c r="C7" s="136"/>
      <c r="D7" s="137"/>
      <c r="E7" s="138"/>
      <c r="F7" s="22">
        <f ca="1">IF(LEN(INDIRECT(ADDRESS(ROW()-1, COLUMN())))=1,"",INDIRECT(ADDRESS(27,7))-INDIRECT(ADDRESS(27,6)))</f>
        <v>2</v>
      </c>
      <c r="G7" s="14" t="s">
        <v>24</v>
      </c>
      <c r="H7" s="16">
        <f ca="1">IF(LEN(INDIRECT(ADDRESS(ROW()-1, COLUMN())))=1,"",INDIRECT(ADDRESS(37,6))-INDIRECT(ADDRESS(37,7)))</f>
        <v>2</v>
      </c>
      <c r="I7" s="16">
        <f ca="1">IF(LEN(INDIRECT(ADDRESS(ROW()-1, COLUMN())))=1,"",INDIRECT(ADDRESS(41,7))-INDIRECT(ADDRESS(41,6)))</f>
        <v>1</v>
      </c>
      <c r="J7" s="16">
        <f ca="1">IF(LEN(INDIRECT(ADDRESS(ROW()-1, COLUMN())))=1,"",INDIRECT(ADDRESS(21,6))-INDIRECT(ADDRESS(21,7)))</f>
        <v>7</v>
      </c>
      <c r="K7" s="17">
        <f ca="1">IF(LEN(INDIRECT(ADDRESS(ROW()-1, COLUMN())))=1,"",INDIRECT(ADDRESS(30,6))-INDIRECT(ADDRESS(30,7)))</f>
        <v>1</v>
      </c>
      <c r="L7" s="245"/>
      <c r="M7" s="16">
        <f ca="1">IF(COUNT(F7:K7)=0,"",SUM(F7:K7))</f>
        <v>13</v>
      </c>
      <c r="N7" s="221"/>
    </row>
    <row r="8" spans="2:14" ht="24" customHeight="1" x14ac:dyDescent="0.25">
      <c r="B8" s="139">
        <v>3</v>
      </c>
      <c r="C8" s="136" t="s">
        <v>90</v>
      </c>
      <c r="D8" s="137"/>
      <c r="E8" s="138"/>
      <c r="F8" s="12" t="str">
        <f ca="1">INDIRECT(ADDRESS(31,6))&amp;":"&amp;INDIRECT(ADDRESS(31,7))</f>
        <v>13:5</v>
      </c>
      <c r="G8" s="7" t="str">
        <f ca="1">INDIRECT(ADDRESS(37,7))&amp;":"&amp;INDIRECT(ADDRESS(37,6))</f>
        <v>7:9</v>
      </c>
      <c r="H8" s="8" t="s">
        <v>24</v>
      </c>
      <c r="I8" s="7" t="str">
        <f ca="1">INDIRECT(ADDRESS(22,6))&amp;":"&amp;INDIRECT(ADDRESS(22,7))</f>
        <v>13:3</v>
      </c>
      <c r="J8" s="7" t="str">
        <f ca="1">INDIRECT(ADDRESS(26,7))&amp;":"&amp;INDIRECT(ADDRESS(26,6))</f>
        <v>13:2</v>
      </c>
      <c r="K8" s="11" t="str">
        <f ca="1">INDIRECT(ADDRESS(40,6))&amp;":"&amp;INDIRECT(ADDRESS(40,7))</f>
        <v>13:5</v>
      </c>
      <c r="L8" s="245">
        <f ca="1">IF(COUNT(F9:K9)=0,"",COUNTIF(F9:K9,"&gt;0")+0.5*COUNTIF(F9:K9,0))</f>
        <v>4</v>
      </c>
      <c r="M8" s="16"/>
      <c r="N8" s="246">
        <v>2</v>
      </c>
    </row>
    <row r="9" spans="2:14" ht="24" customHeight="1" x14ac:dyDescent="0.25">
      <c r="B9" s="132"/>
      <c r="C9" s="136"/>
      <c r="D9" s="137"/>
      <c r="E9" s="138"/>
      <c r="F9" s="22">
        <f ca="1">IF(LEN(INDIRECT(ADDRESS(ROW()-1, COLUMN())))=1,"",INDIRECT(ADDRESS(31,6))-INDIRECT(ADDRESS(31,7)))</f>
        <v>8</v>
      </c>
      <c r="G9" s="16">
        <f ca="1">IF(LEN(INDIRECT(ADDRESS(ROW()-1, COLUMN())))=1,"",INDIRECT(ADDRESS(37,7))-INDIRECT(ADDRESS(37,6)))</f>
        <v>-2</v>
      </c>
      <c r="H9" s="14" t="s">
        <v>24</v>
      </c>
      <c r="I9" s="16">
        <f ca="1">IF(LEN(INDIRECT(ADDRESS(ROW()-1, COLUMN())))=1,"",INDIRECT(ADDRESS(22,6))-INDIRECT(ADDRESS(22,7)))</f>
        <v>10</v>
      </c>
      <c r="J9" s="16">
        <f ca="1">IF(LEN(INDIRECT(ADDRESS(ROW()-1, COLUMN())))=1,"",INDIRECT(ADDRESS(26,7))-INDIRECT(ADDRESS(26,6)))</f>
        <v>11</v>
      </c>
      <c r="K9" s="17">
        <f ca="1">IF(LEN(INDIRECT(ADDRESS(ROW()-1, COLUMN())))=1,"",INDIRECT(ADDRESS(40,6))-INDIRECT(ADDRESS(40,7)))</f>
        <v>8</v>
      </c>
      <c r="L9" s="245"/>
      <c r="M9" s="16">
        <f ca="1">IF(COUNT(F9:K9)=0,"",SUM(F9:K9))</f>
        <v>35</v>
      </c>
      <c r="N9" s="221"/>
    </row>
    <row r="10" spans="2:14" ht="24" customHeight="1" x14ac:dyDescent="0.25">
      <c r="B10" s="139">
        <v>4</v>
      </c>
      <c r="C10" s="152" t="s">
        <v>91</v>
      </c>
      <c r="D10" s="153"/>
      <c r="E10" s="154"/>
      <c r="F10" s="12" t="str">
        <f ca="1">INDIRECT(ADDRESS(36,7))&amp;":"&amp;INDIRECT(ADDRESS(36,6))</f>
        <v>13:5</v>
      </c>
      <c r="G10" s="7" t="str">
        <f ca="1">INDIRECT(ADDRESS(41,6))&amp;":"&amp;INDIRECT(ADDRESS(41,7))</f>
        <v>9:10</v>
      </c>
      <c r="H10" s="7" t="str">
        <f ca="1">INDIRECT(ADDRESS(22,7))&amp;":"&amp;INDIRECT(ADDRESS(22,6))</f>
        <v>3:13</v>
      </c>
      <c r="I10" s="8" t="s">
        <v>24</v>
      </c>
      <c r="J10" s="7" t="str">
        <f ca="1">INDIRECT(ADDRESS(32,6))&amp;":"&amp;INDIRECT(ADDRESS(32,7))</f>
        <v>13:5</v>
      </c>
      <c r="K10" s="11" t="str">
        <f ca="1">INDIRECT(ADDRESS(25,7))&amp;":"&amp;INDIRECT(ADDRESS(25,6))</f>
        <v>13:8</v>
      </c>
      <c r="L10" s="245">
        <f ca="1">IF(COUNT(F11:K11)=0,"",COUNTIF(F11:K11,"&gt;0")+0.5*COUNTIF(F11:K11,0))</f>
        <v>3</v>
      </c>
      <c r="M10" s="16"/>
      <c r="N10" s="246">
        <v>3</v>
      </c>
    </row>
    <row r="11" spans="2:14" ht="24" customHeight="1" x14ac:dyDescent="0.25">
      <c r="B11" s="132"/>
      <c r="C11" s="152"/>
      <c r="D11" s="153"/>
      <c r="E11" s="154"/>
      <c r="F11" s="22">
        <f ca="1">IF(LEN(INDIRECT(ADDRESS(ROW()-1, COLUMN())))=1,"",INDIRECT(ADDRESS(36,7))-INDIRECT(ADDRESS(36,6)))</f>
        <v>8</v>
      </c>
      <c r="G11" s="16">
        <f ca="1">IF(LEN(INDIRECT(ADDRESS(ROW()-1, COLUMN())))=1,"",INDIRECT(ADDRESS(41,6))-INDIRECT(ADDRESS(41,7)))</f>
        <v>-1</v>
      </c>
      <c r="H11" s="16">
        <f ca="1">IF(LEN(INDIRECT(ADDRESS(ROW()-1, COLUMN())))=1,"",INDIRECT(ADDRESS(22,7))-INDIRECT(ADDRESS(22,6)))</f>
        <v>-10</v>
      </c>
      <c r="I11" s="14" t="s">
        <v>24</v>
      </c>
      <c r="J11" s="16">
        <f ca="1">IF(LEN(INDIRECT(ADDRESS(ROW()-1, COLUMN())))=1,"",INDIRECT(ADDRESS(32,6))-INDIRECT(ADDRESS(32,7)))</f>
        <v>8</v>
      </c>
      <c r="K11" s="17">
        <f ca="1">IF(LEN(INDIRECT(ADDRESS(ROW()-1, COLUMN())))=1,"",INDIRECT(ADDRESS(25,7))-INDIRECT(ADDRESS(25,6)))</f>
        <v>5</v>
      </c>
      <c r="L11" s="245"/>
      <c r="M11" s="16">
        <f ca="1">IF(COUNT(F11:K11)=0,"",SUM(F11:K11))</f>
        <v>10</v>
      </c>
      <c r="N11" s="221"/>
    </row>
    <row r="12" spans="2:14" ht="24" customHeight="1" x14ac:dyDescent="0.25">
      <c r="B12" s="139">
        <v>5</v>
      </c>
      <c r="C12" s="140" t="s">
        <v>92</v>
      </c>
      <c r="D12" s="141"/>
      <c r="E12" s="142"/>
      <c r="F12" s="12" t="str">
        <f ca="1">INDIRECT(ADDRESS(42,6))&amp;":"&amp;INDIRECT(ADDRESS(42,7))</f>
        <v>1:13</v>
      </c>
      <c r="G12" s="7" t="str">
        <f ca="1">INDIRECT(ADDRESS(21,7))&amp;":"&amp;INDIRECT(ADDRESS(21,6))</f>
        <v>6:13</v>
      </c>
      <c r="H12" s="7" t="str">
        <f ca="1">INDIRECT(ADDRESS(26,6))&amp;":"&amp;INDIRECT(ADDRESS(26,7))</f>
        <v>2:13</v>
      </c>
      <c r="I12" s="7" t="str">
        <f ca="1">INDIRECT(ADDRESS(32,7))&amp;":"&amp;INDIRECT(ADDRESS(32,6))</f>
        <v>5:13</v>
      </c>
      <c r="J12" s="8" t="s">
        <v>24</v>
      </c>
      <c r="K12" s="11" t="str">
        <f ca="1">INDIRECT(ADDRESS(35,7))&amp;":"&amp;INDIRECT(ADDRESS(35,6))</f>
        <v>13:9</v>
      </c>
      <c r="L12" s="245">
        <f ca="1">IF(COUNT(F13:K13)=0,"",COUNTIF(F13:K13,"&gt;0")+0.5*COUNTIF(F13:K13,0))</f>
        <v>1</v>
      </c>
      <c r="M12" s="16"/>
      <c r="N12" s="246">
        <v>5</v>
      </c>
    </row>
    <row r="13" spans="2:14" ht="24" customHeight="1" x14ac:dyDescent="0.25">
      <c r="B13" s="132"/>
      <c r="C13" s="140"/>
      <c r="D13" s="141"/>
      <c r="E13" s="142"/>
      <c r="F13" s="22">
        <f ca="1">IF(LEN(INDIRECT(ADDRESS(ROW()-1, COLUMN())))=1,"",INDIRECT(ADDRESS(42,6))-INDIRECT(ADDRESS(42,7)))</f>
        <v>-12</v>
      </c>
      <c r="G13" s="16">
        <f ca="1">IF(LEN(INDIRECT(ADDRESS(ROW()-1, COLUMN())))=1,"",INDIRECT(ADDRESS(21,7))-INDIRECT(ADDRESS(21,6)))</f>
        <v>-7</v>
      </c>
      <c r="H13" s="16">
        <f ca="1">IF(LEN(INDIRECT(ADDRESS(ROW()-1, COLUMN())))=1,"",INDIRECT(ADDRESS(26,6))-INDIRECT(ADDRESS(26,7)))</f>
        <v>-11</v>
      </c>
      <c r="I13" s="16">
        <f ca="1">IF(LEN(INDIRECT(ADDRESS(ROW()-1, COLUMN())))=1,"",INDIRECT(ADDRESS(32,7))-INDIRECT(ADDRESS(32,6)))</f>
        <v>-8</v>
      </c>
      <c r="J13" s="14" t="s">
        <v>24</v>
      </c>
      <c r="K13" s="17">
        <f ca="1">IF(LEN(INDIRECT(ADDRESS(ROW()-1, COLUMN())))=1,"",INDIRECT(ADDRESS(35,7))-INDIRECT(ADDRESS(35,6)))</f>
        <v>4</v>
      </c>
      <c r="L13" s="245"/>
      <c r="M13" s="16">
        <f ca="1">IF(COUNT(F13:K13)=0,"",SUM(F13:K13))</f>
        <v>-34</v>
      </c>
      <c r="N13" s="221"/>
    </row>
    <row r="14" spans="2:14" ht="24" customHeight="1" x14ac:dyDescent="0.25">
      <c r="B14" s="139">
        <v>6</v>
      </c>
      <c r="C14" s="140" t="s">
        <v>93</v>
      </c>
      <c r="D14" s="141"/>
      <c r="E14" s="142"/>
      <c r="F14" s="12" t="str">
        <f ca="1">INDIRECT(ADDRESS(20,7))&amp;":"&amp;INDIRECT(ADDRESS(20,6))</f>
        <v>7:8</v>
      </c>
      <c r="G14" s="7" t="str">
        <f ca="1">INDIRECT(ADDRESS(30,7))&amp;":"&amp;INDIRECT(ADDRESS(30,6))</f>
        <v>7:8</v>
      </c>
      <c r="H14" s="7" t="str">
        <f ca="1">INDIRECT(ADDRESS(40,7))&amp;":"&amp;INDIRECT(ADDRESS(40,6))</f>
        <v>5:13</v>
      </c>
      <c r="I14" s="7" t="str">
        <f ca="1">INDIRECT(ADDRESS(25,6))&amp;":"&amp;INDIRECT(ADDRESS(25,7))</f>
        <v>8:13</v>
      </c>
      <c r="J14" s="7" t="str">
        <f ca="1">INDIRECT(ADDRESS(35,6))&amp;":"&amp;INDIRECT(ADDRESS(35,7))</f>
        <v>9:13</v>
      </c>
      <c r="K14" s="34" t="s">
        <v>24</v>
      </c>
      <c r="L14" s="245">
        <f ca="1">IF(COUNT(F15:K15)=0,"",COUNTIF(F15:K15,"&gt;0")+0.5*COUNTIF(F15:K15,0))</f>
        <v>0</v>
      </c>
      <c r="M14" s="16"/>
      <c r="N14" s="246">
        <v>6</v>
      </c>
    </row>
    <row r="15" spans="2:14" ht="24" customHeight="1" thickBot="1" x14ac:dyDescent="0.3">
      <c r="B15" s="143"/>
      <c r="C15" s="144"/>
      <c r="D15" s="145"/>
      <c r="E15" s="146"/>
      <c r="F15" s="19">
        <f ca="1">IF(LEN(INDIRECT(ADDRESS(ROW()-1, COLUMN())))=1,"",INDIRECT(ADDRESS(20,7))-INDIRECT(ADDRESS(20,6)))</f>
        <v>-1</v>
      </c>
      <c r="G15" s="18">
        <f ca="1">IF(LEN(INDIRECT(ADDRESS(ROW()-1, COLUMN())))=1,"",INDIRECT(ADDRESS(30,7))-INDIRECT(ADDRESS(30,6)))</f>
        <v>-1</v>
      </c>
      <c r="H15" s="18">
        <f ca="1">IF(LEN(INDIRECT(ADDRESS(ROW()-1, COLUMN())))=1,"",INDIRECT(ADDRESS(40,7))-INDIRECT(ADDRESS(40,6)))</f>
        <v>-8</v>
      </c>
      <c r="I15" s="18">
        <f ca="1">IF(LEN(INDIRECT(ADDRESS(ROW()-1, COLUMN())))=1,"",INDIRECT(ADDRESS(25,6))-INDIRECT(ADDRESS(25,7)))</f>
        <v>-5</v>
      </c>
      <c r="J15" s="18">
        <f ca="1">IF(LEN(INDIRECT(ADDRESS(ROW()-1, COLUMN())))=1,"",INDIRECT(ADDRESS(35,6))-INDIRECT(ADDRESS(35,7)))</f>
        <v>-4</v>
      </c>
      <c r="K15" s="15" t="s">
        <v>24</v>
      </c>
      <c r="L15" s="248"/>
      <c r="M15" s="18">
        <f ca="1">IF(COUNT(F15:K15)=0,"",SUM(F15:K15))</f>
        <v>-19</v>
      </c>
      <c r="N15" s="247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6" customFormat="1" ht="30" customHeight="1" thickBot="1" x14ac:dyDescent="0.4">
      <c r="A19" s="35"/>
      <c r="B19" s="147" t="s">
        <v>4</v>
      </c>
      <c r="C19" s="147"/>
      <c r="D19" s="147"/>
      <c r="E19" s="147"/>
      <c r="F19" s="147"/>
      <c r="G19" s="147"/>
      <c r="H19" s="147"/>
      <c r="I19" s="147"/>
      <c r="J19" s="147"/>
      <c r="K19" s="147"/>
    </row>
    <row r="20" spans="1:13" s="36" customFormat="1" ht="30" customHeight="1" thickBot="1" x14ac:dyDescent="0.4">
      <c r="A20" s="35"/>
      <c r="B20" s="37">
        <v>1</v>
      </c>
      <c r="C20" s="124" t="str">
        <f ca="1">IF(ISBLANK(INDIRECT(ADDRESS(B20*2+2,3))),"",INDIRECT(ADDRESS(B20*2+2,3)))</f>
        <v>Бейгер Максим</v>
      </c>
      <c r="D20" s="124"/>
      <c r="E20" s="125"/>
      <c r="F20" s="38">
        <v>8</v>
      </c>
      <c r="G20" s="39">
        <v>7</v>
      </c>
      <c r="H20" s="126" t="str">
        <f ca="1">IF(ISBLANK(INDIRECT(ADDRESS(K20*2+2,3))),"",INDIRECT(ADDRESS(K20*2+2,3)))</f>
        <v>Новиков Петр</v>
      </c>
      <c r="I20" s="124"/>
      <c r="J20" s="124"/>
      <c r="K20" s="37">
        <v>6</v>
      </c>
      <c r="L20" s="40" t="s">
        <v>10</v>
      </c>
      <c r="M20" s="46">
        <v>4</v>
      </c>
    </row>
    <row r="21" spans="1:13" s="36" customFormat="1" ht="30" customHeight="1" thickBot="1" x14ac:dyDescent="0.4">
      <c r="A21" s="35"/>
      <c r="B21" s="37">
        <v>2</v>
      </c>
      <c r="C21" s="124" t="str">
        <f ca="1">IF(ISBLANK(INDIRECT(ADDRESS(B21*2+2,3))),"",INDIRECT(ADDRESS(B21*2+2,3)))</f>
        <v>Земцов Сергей</v>
      </c>
      <c r="D21" s="124"/>
      <c r="E21" s="125"/>
      <c r="F21" s="38">
        <v>13</v>
      </c>
      <c r="G21" s="39">
        <v>6</v>
      </c>
      <c r="H21" s="126" t="str">
        <f ca="1">IF(ISBLANK(INDIRECT(ADDRESS(K21*2+2,3))),"",INDIRECT(ADDRESS(K21*2+2,3)))</f>
        <v>Столяров Игорь</v>
      </c>
      <c r="I21" s="124"/>
      <c r="J21" s="124"/>
      <c r="K21" s="37">
        <v>5</v>
      </c>
      <c r="L21" s="40" t="s">
        <v>10</v>
      </c>
      <c r="M21" s="46">
        <v>5</v>
      </c>
    </row>
    <row r="22" spans="1:13" s="36" customFormat="1" ht="30" customHeight="1" thickBot="1" x14ac:dyDescent="0.4">
      <c r="A22" s="35"/>
      <c r="B22" s="37">
        <v>3</v>
      </c>
      <c r="C22" s="124" t="str">
        <f ca="1">IF(ISBLANK(INDIRECT(ADDRESS(B22*2+2,3))),"",INDIRECT(ADDRESS(B22*2+2,3)))</f>
        <v>Гулинин Евгений</v>
      </c>
      <c r="D22" s="124"/>
      <c r="E22" s="125"/>
      <c r="F22" s="38">
        <v>13</v>
      </c>
      <c r="G22" s="39">
        <v>3</v>
      </c>
      <c r="H22" s="126" t="str">
        <f ca="1">IF(ISBLANK(INDIRECT(ADDRESS(K22*2+2,3))),"",INDIRECT(ADDRESS(K22*2+2,3)))</f>
        <v>Иванов Евгений</v>
      </c>
      <c r="I22" s="124"/>
      <c r="J22" s="124"/>
      <c r="K22" s="37">
        <v>4</v>
      </c>
      <c r="L22" s="40" t="s">
        <v>10</v>
      </c>
      <c r="M22" s="46">
        <v>6</v>
      </c>
    </row>
    <row r="23" spans="1:13" s="36" customFormat="1" ht="30" customHeight="1" x14ac:dyDescent="0.35">
      <c r="A23" s="35"/>
      <c r="M23" s="41"/>
    </row>
    <row r="24" spans="1:13" s="36" customFormat="1" ht="30" customHeight="1" thickBot="1" x14ac:dyDescent="0.4">
      <c r="A24" s="35"/>
      <c r="B24" s="147" t="s">
        <v>5</v>
      </c>
      <c r="C24" s="147"/>
      <c r="D24" s="147"/>
      <c r="E24" s="147"/>
      <c r="F24" s="147"/>
      <c r="G24" s="147"/>
      <c r="H24" s="147"/>
      <c r="I24" s="147"/>
      <c r="J24" s="147"/>
      <c r="K24" s="147"/>
      <c r="M24" s="41"/>
    </row>
    <row r="25" spans="1:13" s="36" customFormat="1" ht="30" customHeight="1" thickBot="1" x14ac:dyDescent="0.4">
      <c r="A25" s="35"/>
      <c r="B25" s="37">
        <v>6</v>
      </c>
      <c r="C25" s="124" t="str">
        <f ca="1">IF(ISBLANK(INDIRECT(ADDRESS(B25*2+2,3))),"",INDIRECT(ADDRESS(B25*2+2,3)))</f>
        <v>Новиков Петр</v>
      </c>
      <c r="D25" s="124"/>
      <c r="E25" s="125"/>
      <c r="F25" s="38">
        <v>8</v>
      </c>
      <c r="G25" s="39">
        <v>13</v>
      </c>
      <c r="H25" s="126" t="str">
        <f ca="1">IF(ISBLANK(INDIRECT(ADDRESS(K25*2+2,3))),"",INDIRECT(ADDRESS(K25*2+2,3)))</f>
        <v>Иванов Евгений</v>
      </c>
      <c r="I25" s="124"/>
      <c r="J25" s="124"/>
      <c r="K25" s="37">
        <v>4</v>
      </c>
      <c r="L25" s="40" t="s">
        <v>10</v>
      </c>
      <c r="M25" s="46">
        <v>1</v>
      </c>
    </row>
    <row r="26" spans="1:13" s="36" customFormat="1" ht="30" customHeight="1" thickBot="1" x14ac:dyDescent="0.4">
      <c r="A26" s="35"/>
      <c r="B26" s="37">
        <v>5</v>
      </c>
      <c r="C26" s="124" t="str">
        <f ca="1">IF(ISBLANK(INDIRECT(ADDRESS(B26*2+2,3))),"",INDIRECT(ADDRESS(B26*2+2,3)))</f>
        <v>Столяров Игорь</v>
      </c>
      <c r="D26" s="124"/>
      <c r="E26" s="125"/>
      <c r="F26" s="38">
        <v>2</v>
      </c>
      <c r="G26" s="39">
        <v>13</v>
      </c>
      <c r="H26" s="126" t="str">
        <f ca="1">IF(ISBLANK(INDIRECT(ADDRESS(K26*2+2,3))),"",INDIRECT(ADDRESS(K26*2+2,3)))</f>
        <v>Гулинин Евгений</v>
      </c>
      <c r="I26" s="124"/>
      <c r="J26" s="124"/>
      <c r="K26" s="37">
        <v>3</v>
      </c>
      <c r="L26" s="40" t="s">
        <v>10</v>
      </c>
      <c r="M26" s="46">
        <v>2</v>
      </c>
    </row>
    <row r="27" spans="1:13" s="36" customFormat="1" ht="30" customHeight="1" thickBot="1" x14ac:dyDescent="0.4">
      <c r="A27" s="35"/>
      <c r="B27" s="37">
        <v>1</v>
      </c>
      <c r="C27" s="124" t="str">
        <f ca="1">IF(ISBLANK(INDIRECT(ADDRESS(B27*2+2,3))),"",INDIRECT(ADDRESS(B27*2+2,3)))</f>
        <v>Бейгер Максим</v>
      </c>
      <c r="D27" s="124"/>
      <c r="E27" s="125"/>
      <c r="F27" s="38">
        <v>6</v>
      </c>
      <c r="G27" s="39">
        <v>8</v>
      </c>
      <c r="H27" s="126" t="str">
        <f ca="1">IF(ISBLANK(INDIRECT(ADDRESS(K27*2+2,3))),"",INDIRECT(ADDRESS(K27*2+2,3)))</f>
        <v>Земцов Сергей</v>
      </c>
      <c r="I27" s="124"/>
      <c r="J27" s="124"/>
      <c r="K27" s="37">
        <v>2</v>
      </c>
      <c r="L27" s="40" t="s">
        <v>10</v>
      </c>
      <c r="M27" s="46">
        <v>3</v>
      </c>
    </row>
    <row r="28" spans="1:13" s="36" customFormat="1" ht="30" customHeight="1" x14ac:dyDescent="0.35">
      <c r="A28" s="35"/>
      <c r="M28" s="41"/>
    </row>
    <row r="29" spans="1:13" s="36" customFormat="1" ht="30" customHeight="1" thickBot="1" x14ac:dyDescent="0.4">
      <c r="A29" s="35"/>
      <c r="B29" s="147" t="s">
        <v>6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s="36" customFormat="1" ht="30" customHeight="1" thickBot="1" x14ac:dyDescent="0.4">
      <c r="A30" s="35"/>
      <c r="B30" s="37">
        <v>2</v>
      </c>
      <c r="C30" s="124" t="str">
        <f ca="1">IF(ISBLANK(INDIRECT(ADDRESS(B30*2+2,3))),"",INDIRECT(ADDRESS(B30*2+2,3)))</f>
        <v>Земцов Сергей</v>
      </c>
      <c r="D30" s="124"/>
      <c r="E30" s="125"/>
      <c r="F30" s="38">
        <v>8</v>
      </c>
      <c r="G30" s="39">
        <v>7</v>
      </c>
      <c r="H30" s="126" t="str">
        <f ca="1">IF(ISBLANK(INDIRECT(ADDRESS(K30*2+2,3))),"",INDIRECT(ADDRESS(K30*2+2,3)))</f>
        <v>Новиков Петр</v>
      </c>
      <c r="I30" s="124"/>
      <c r="J30" s="124"/>
      <c r="K30" s="37">
        <v>6</v>
      </c>
      <c r="L30" s="40" t="s">
        <v>10</v>
      </c>
      <c r="M30" s="46">
        <v>6</v>
      </c>
    </row>
    <row r="31" spans="1:13" s="36" customFormat="1" ht="30" customHeight="1" thickBot="1" x14ac:dyDescent="0.4">
      <c r="A31" s="35"/>
      <c r="B31" s="37">
        <v>3</v>
      </c>
      <c r="C31" s="124" t="str">
        <f ca="1">IF(ISBLANK(INDIRECT(ADDRESS(B31*2+2,3))),"",INDIRECT(ADDRESS(B31*2+2,3)))</f>
        <v>Гулинин Евгений</v>
      </c>
      <c r="D31" s="124"/>
      <c r="E31" s="125"/>
      <c r="F31" s="38">
        <v>13</v>
      </c>
      <c r="G31" s="39">
        <v>5</v>
      </c>
      <c r="H31" s="126" t="str">
        <f ca="1">IF(ISBLANK(INDIRECT(ADDRESS(K31*2+2,3))),"",INDIRECT(ADDRESS(K31*2+2,3)))</f>
        <v>Бейгер Максим</v>
      </c>
      <c r="I31" s="124"/>
      <c r="J31" s="124"/>
      <c r="K31" s="37">
        <v>1</v>
      </c>
      <c r="L31" s="40" t="s">
        <v>10</v>
      </c>
      <c r="M31" s="46">
        <v>5</v>
      </c>
    </row>
    <row r="32" spans="1:13" s="36" customFormat="1" ht="30" customHeight="1" thickBot="1" x14ac:dyDescent="0.4">
      <c r="A32" s="35"/>
      <c r="B32" s="37">
        <v>4</v>
      </c>
      <c r="C32" s="124" t="str">
        <f ca="1">IF(ISBLANK(INDIRECT(ADDRESS(B32*2+2,3))),"",INDIRECT(ADDRESS(B32*2+2,3)))</f>
        <v>Иванов Евгений</v>
      </c>
      <c r="D32" s="124"/>
      <c r="E32" s="125"/>
      <c r="F32" s="38">
        <v>13</v>
      </c>
      <c r="G32" s="39">
        <v>5</v>
      </c>
      <c r="H32" s="126" t="str">
        <f ca="1">IF(ISBLANK(INDIRECT(ADDRESS(K32*2+2,3))),"",INDIRECT(ADDRESS(K32*2+2,3)))</f>
        <v>Столяров Игорь</v>
      </c>
      <c r="I32" s="124"/>
      <c r="J32" s="124"/>
      <c r="K32" s="37">
        <v>5</v>
      </c>
      <c r="L32" s="40" t="s">
        <v>10</v>
      </c>
      <c r="M32" s="46">
        <v>4</v>
      </c>
    </row>
    <row r="33" spans="1:13" s="36" customFormat="1" ht="30" customHeight="1" x14ac:dyDescent="0.35">
      <c r="A33" s="35"/>
      <c r="M33" s="41"/>
    </row>
    <row r="34" spans="1:13" s="36" customFormat="1" ht="30" customHeight="1" thickBot="1" x14ac:dyDescent="0.4">
      <c r="A34" s="35"/>
      <c r="B34" s="147" t="s">
        <v>7</v>
      </c>
      <c r="C34" s="147"/>
      <c r="D34" s="147"/>
      <c r="E34" s="147"/>
      <c r="F34" s="147"/>
      <c r="G34" s="147"/>
      <c r="H34" s="147"/>
      <c r="I34" s="147"/>
      <c r="J34" s="147"/>
      <c r="K34" s="147"/>
      <c r="M34" s="41"/>
    </row>
    <row r="35" spans="1:13" s="36" customFormat="1" ht="30" customHeight="1" thickBot="1" x14ac:dyDescent="0.4">
      <c r="A35" s="35"/>
      <c r="B35" s="37">
        <v>6</v>
      </c>
      <c r="C35" s="124" t="str">
        <f ca="1">IF(ISBLANK(INDIRECT(ADDRESS(B35*2+2,3))),"",INDIRECT(ADDRESS(B35*2+2,3)))</f>
        <v>Новиков Петр</v>
      </c>
      <c r="D35" s="124"/>
      <c r="E35" s="125"/>
      <c r="F35" s="38">
        <v>9</v>
      </c>
      <c r="G35" s="39">
        <v>13</v>
      </c>
      <c r="H35" s="126" t="str">
        <f ca="1">IF(ISBLANK(INDIRECT(ADDRESS(K35*2+2,3))),"",INDIRECT(ADDRESS(K35*2+2,3)))</f>
        <v>Столяров Игорь</v>
      </c>
      <c r="I35" s="124"/>
      <c r="J35" s="124"/>
      <c r="K35" s="37">
        <v>5</v>
      </c>
      <c r="L35" s="40" t="s">
        <v>10</v>
      </c>
      <c r="M35" s="46">
        <v>3</v>
      </c>
    </row>
    <row r="36" spans="1:13" s="36" customFormat="1" ht="30" customHeight="1" thickBot="1" x14ac:dyDescent="0.4">
      <c r="A36" s="35"/>
      <c r="B36" s="37">
        <v>1</v>
      </c>
      <c r="C36" s="124" t="str">
        <f ca="1">IF(ISBLANK(INDIRECT(ADDRESS(B36*2+2,3))),"",INDIRECT(ADDRESS(B36*2+2,3)))</f>
        <v>Бейгер Максим</v>
      </c>
      <c r="D36" s="124"/>
      <c r="E36" s="125"/>
      <c r="F36" s="38">
        <v>5</v>
      </c>
      <c r="G36" s="39">
        <v>13</v>
      </c>
      <c r="H36" s="126" t="str">
        <f ca="1">IF(ISBLANK(INDIRECT(ADDRESS(K36*2+2,3))),"",INDIRECT(ADDRESS(K36*2+2,3)))</f>
        <v>Иванов Евгений</v>
      </c>
      <c r="I36" s="124"/>
      <c r="J36" s="124"/>
      <c r="K36" s="37">
        <v>4</v>
      </c>
      <c r="L36" s="40" t="s">
        <v>10</v>
      </c>
      <c r="M36" s="46">
        <v>2</v>
      </c>
    </row>
    <row r="37" spans="1:13" s="36" customFormat="1" ht="30" customHeight="1" thickBot="1" x14ac:dyDescent="0.4">
      <c r="A37" s="35"/>
      <c r="B37" s="37">
        <v>2</v>
      </c>
      <c r="C37" s="124" t="str">
        <f ca="1">IF(ISBLANK(INDIRECT(ADDRESS(B37*2+2,3))),"",INDIRECT(ADDRESS(B37*2+2,3)))</f>
        <v>Земцов Сергей</v>
      </c>
      <c r="D37" s="124"/>
      <c r="E37" s="125"/>
      <c r="F37" s="38">
        <v>9</v>
      </c>
      <c r="G37" s="39">
        <v>7</v>
      </c>
      <c r="H37" s="126" t="str">
        <f ca="1">IF(ISBLANK(INDIRECT(ADDRESS(K37*2+2,3))),"",INDIRECT(ADDRESS(K37*2+2,3)))</f>
        <v>Гулинин Евгений</v>
      </c>
      <c r="I37" s="124"/>
      <c r="J37" s="124"/>
      <c r="K37" s="37">
        <v>3</v>
      </c>
      <c r="L37" s="40" t="s">
        <v>10</v>
      </c>
      <c r="M37" s="46">
        <v>1</v>
      </c>
    </row>
    <row r="38" spans="1:13" s="36" customFormat="1" ht="30" customHeight="1" x14ac:dyDescent="0.35">
      <c r="A38" s="35"/>
      <c r="M38" s="41"/>
    </row>
    <row r="39" spans="1:13" s="36" customFormat="1" ht="30" customHeight="1" thickBot="1" x14ac:dyDescent="0.4">
      <c r="A39" s="35"/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  <c r="M39" s="41"/>
    </row>
    <row r="40" spans="1:13" s="36" customFormat="1" ht="30" customHeight="1" thickBot="1" x14ac:dyDescent="0.4">
      <c r="A40" s="35"/>
      <c r="B40" s="37">
        <v>3</v>
      </c>
      <c r="C40" s="124" t="str">
        <f ca="1">IF(ISBLANK(INDIRECT(ADDRESS(B40*2+2,3))),"",INDIRECT(ADDRESS(B40*2+2,3)))</f>
        <v>Гулинин Евгений</v>
      </c>
      <c r="D40" s="124"/>
      <c r="E40" s="125"/>
      <c r="F40" s="38">
        <v>13</v>
      </c>
      <c r="G40" s="39">
        <v>5</v>
      </c>
      <c r="H40" s="126" t="str">
        <f ca="1">IF(ISBLANK(INDIRECT(ADDRESS(K40*2+2,3))),"",INDIRECT(ADDRESS(K40*2+2,3)))</f>
        <v>Новиков Петр</v>
      </c>
      <c r="I40" s="124"/>
      <c r="J40" s="124"/>
      <c r="K40" s="37">
        <v>6</v>
      </c>
      <c r="L40" s="40" t="s">
        <v>10</v>
      </c>
      <c r="M40" s="46">
        <v>4</v>
      </c>
    </row>
    <row r="41" spans="1:13" s="36" customFormat="1" ht="30" customHeight="1" thickBot="1" x14ac:dyDescent="0.4">
      <c r="A41" s="35"/>
      <c r="B41" s="37">
        <v>4</v>
      </c>
      <c r="C41" s="124" t="str">
        <f ca="1">IF(ISBLANK(INDIRECT(ADDRESS(B41*2+2,3))),"",INDIRECT(ADDRESS(B41*2+2,3)))</f>
        <v>Иванов Евгений</v>
      </c>
      <c r="D41" s="124"/>
      <c r="E41" s="125"/>
      <c r="F41" s="38">
        <v>9</v>
      </c>
      <c r="G41" s="39">
        <v>10</v>
      </c>
      <c r="H41" s="126" t="str">
        <f ca="1">IF(ISBLANK(INDIRECT(ADDRESS(K41*2+2,3))),"",INDIRECT(ADDRESS(K41*2+2,3)))</f>
        <v>Земцов Сергей</v>
      </c>
      <c r="I41" s="124"/>
      <c r="J41" s="124"/>
      <c r="K41" s="37">
        <v>2</v>
      </c>
      <c r="L41" s="40" t="s">
        <v>10</v>
      </c>
      <c r="M41" s="46">
        <v>5</v>
      </c>
    </row>
    <row r="42" spans="1:13" s="36" customFormat="1" ht="30" customHeight="1" thickBot="1" x14ac:dyDescent="0.4">
      <c r="A42" s="35"/>
      <c r="B42" s="37">
        <v>5</v>
      </c>
      <c r="C42" s="124" t="str">
        <f ca="1">IF(ISBLANK(INDIRECT(ADDRESS(B42*2+2,3))),"",INDIRECT(ADDRESS(B42*2+2,3)))</f>
        <v>Столяров Игорь</v>
      </c>
      <c r="D42" s="124"/>
      <c r="E42" s="125"/>
      <c r="F42" s="38">
        <v>1</v>
      </c>
      <c r="G42" s="39">
        <v>13</v>
      </c>
      <c r="H42" s="126" t="str">
        <f ca="1">IF(ISBLANK(INDIRECT(ADDRESS(K42*2+2,3))),"",INDIRECT(ADDRESS(K42*2+2,3)))</f>
        <v>Бейгер Максим</v>
      </c>
      <c r="I42" s="124"/>
      <c r="J42" s="124"/>
      <c r="K42" s="37">
        <v>1</v>
      </c>
      <c r="L42" s="40" t="s">
        <v>10</v>
      </c>
      <c r="M42" s="46">
        <v>6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workbookViewId="0">
      <selection activeCell="F17" sqref="F17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27" t="s">
        <v>41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18</v>
      </c>
      <c r="M1" t="s">
        <v>45</v>
      </c>
      <c r="N1" s="31">
        <v>46040</v>
      </c>
    </row>
    <row r="2" spans="2:14" ht="15.75" thickBot="1" x14ac:dyDescent="0.3">
      <c r="M2"/>
    </row>
    <row r="3" spans="2:14" ht="30" customHeight="1" thickBot="1" x14ac:dyDescent="0.3">
      <c r="B3" s="55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31">
        <v>1</v>
      </c>
      <c r="C4" s="133" t="s">
        <v>105</v>
      </c>
      <c r="D4" s="134"/>
      <c r="E4" s="135"/>
      <c r="F4" s="10" t="s">
        <v>24</v>
      </c>
      <c r="G4" s="6" t="str">
        <f ca="1">INDIRECT(ADDRESS(27,6))&amp;":"&amp;INDIRECT(ADDRESS(27,7))</f>
        <v>11:13</v>
      </c>
      <c r="H4" s="6" t="str">
        <f ca="1">INDIRECT(ADDRESS(31,7))&amp;":"&amp;INDIRECT(ADDRESS(31,6))</f>
        <v>13:11</v>
      </c>
      <c r="I4" s="6" t="str">
        <f ca="1">INDIRECT(ADDRESS(36,6))&amp;":"&amp;INDIRECT(ADDRESS(36,7))</f>
        <v>13:8</v>
      </c>
      <c r="J4" s="6" t="str">
        <f ca="1">INDIRECT(ADDRESS(42,7))&amp;":"&amp;INDIRECT(ADDRESS(42,6))</f>
        <v>13:9</v>
      </c>
      <c r="K4" s="20" t="str">
        <f ca="1">INDIRECT(ADDRESS(20,6))&amp;":"&amp;INDIRECT(ADDRESS(20,7))</f>
        <v>13:11</v>
      </c>
      <c r="L4" s="244">
        <f ca="1">IF(COUNT(F5:K5)=0,"",COUNTIF(F5:K5,"&gt;0")+0.5*COUNTIF(F5:K5,0))</f>
        <v>4</v>
      </c>
      <c r="M4" s="23"/>
      <c r="N4" s="219">
        <v>2</v>
      </c>
    </row>
    <row r="5" spans="2:14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COLUMN())))=1,"",INDIRECT(ADDRESS(27,6))-INDIRECT(ADDRESS(27,7)))</f>
        <v>-2</v>
      </c>
      <c r="H5" s="16">
        <f ca="1">IF(LEN(INDIRECT(ADDRESS(ROW()-1, COLUMN())))=1,"",INDIRECT(ADDRESS(31,7))-INDIRECT(ADDRESS(31,6)))</f>
        <v>2</v>
      </c>
      <c r="I5" s="16">
        <f ca="1">IF(LEN(INDIRECT(ADDRESS(ROW()-1, COLUMN())))=1,"",INDIRECT(ADDRESS(36,6))-INDIRECT(ADDRESS(36,7)))</f>
        <v>5</v>
      </c>
      <c r="J5" s="16">
        <f ca="1">IF(LEN(INDIRECT(ADDRESS(ROW()-1, COLUMN())))=1,"",INDIRECT(ADDRESS(42,7))-INDIRECT(ADDRESS(42,6)))</f>
        <v>4</v>
      </c>
      <c r="K5" s="17">
        <f ca="1">IF(LEN(INDIRECT(ADDRESS(ROW()-1, COLUMN())))=1,"",INDIRECT(ADDRESS(20,6))-INDIRECT(ADDRESS(20,7)))</f>
        <v>2</v>
      </c>
      <c r="L5" s="245"/>
      <c r="M5" s="16">
        <f ca="1">IF(COUNT(F5:K5)=0,"",SUM(F5:K5))</f>
        <v>11</v>
      </c>
      <c r="N5" s="221"/>
    </row>
    <row r="6" spans="2:14" ht="24" customHeight="1" x14ac:dyDescent="0.25">
      <c r="B6" s="139">
        <v>2</v>
      </c>
      <c r="C6" s="136" t="s">
        <v>106</v>
      </c>
      <c r="D6" s="137"/>
      <c r="E6" s="138"/>
      <c r="F6" s="12" t="str">
        <f ca="1">INDIRECT(ADDRESS(27,7))&amp;":"&amp;INDIRECT(ADDRESS(27,6))</f>
        <v>13:11</v>
      </c>
      <c r="G6" s="8" t="s">
        <v>24</v>
      </c>
      <c r="H6" s="7" t="str">
        <f ca="1">INDIRECT(ADDRESS(37,6))&amp;":"&amp;INDIRECT(ADDRESS(37,7))</f>
        <v>8:13</v>
      </c>
      <c r="I6" s="7" t="str">
        <f ca="1">INDIRECT(ADDRESS(41,7))&amp;":"&amp;INDIRECT(ADDRESS(41,6))</f>
        <v>13:7</v>
      </c>
      <c r="J6" s="7" t="str">
        <f ca="1">INDIRECT(ADDRESS(21,6))&amp;":"&amp;INDIRECT(ADDRESS(21,7))</f>
        <v>13:8</v>
      </c>
      <c r="K6" s="11" t="str">
        <f ca="1">INDIRECT(ADDRESS(30,6))&amp;":"&amp;INDIRECT(ADDRESS(30,7))</f>
        <v>13:5</v>
      </c>
      <c r="L6" s="245">
        <f ca="1">IF(COUNT(F7:K7)=0,"",COUNTIF(F7:K7,"&gt;0")+0.5*COUNTIF(F7:K7,0))</f>
        <v>4</v>
      </c>
      <c r="M6" s="16"/>
      <c r="N6" s="246">
        <v>1</v>
      </c>
    </row>
    <row r="7" spans="2:14" ht="24" customHeight="1" x14ac:dyDescent="0.25">
      <c r="B7" s="132"/>
      <c r="C7" s="136"/>
      <c r="D7" s="137"/>
      <c r="E7" s="138"/>
      <c r="F7" s="22">
        <f ca="1">IF(LEN(INDIRECT(ADDRESS(ROW()-1, COLUMN())))=1,"",INDIRECT(ADDRESS(27,7))-INDIRECT(ADDRESS(27,6)))</f>
        <v>2</v>
      </c>
      <c r="G7" s="14" t="s">
        <v>24</v>
      </c>
      <c r="H7" s="16">
        <f ca="1">IF(LEN(INDIRECT(ADDRESS(ROW()-1, COLUMN())))=1,"",INDIRECT(ADDRESS(37,6))-INDIRECT(ADDRESS(37,7)))</f>
        <v>-5</v>
      </c>
      <c r="I7" s="16">
        <f ca="1">IF(LEN(INDIRECT(ADDRESS(ROW()-1, COLUMN())))=1,"",INDIRECT(ADDRESS(41,7))-INDIRECT(ADDRESS(41,6)))</f>
        <v>6</v>
      </c>
      <c r="J7" s="16">
        <f ca="1">IF(LEN(INDIRECT(ADDRESS(ROW()-1, COLUMN())))=1,"",INDIRECT(ADDRESS(21,6))-INDIRECT(ADDRESS(21,7)))</f>
        <v>5</v>
      </c>
      <c r="K7" s="17">
        <f ca="1">IF(LEN(INDIRECT(ADDRESS(ROW()-1, COLUMN())))=1,"",INDIRECT(ADDRESS(30,6))-INDIRECT(ADDRESS(30,7)))</f>
        <v>8</v>
      </c>
      <c r="L7" s="245"/>
      <c r="M7" s="16">
        <f ca="1">IF(COUNT(F7:K7)=0,"",SUM(F7:K7))</f>
        <v>16</v>
      </c>
      <c r="N7" s="221"/>
    </row>
    <row r="8" spans="2:14" ht="24" customHeight="1" x14ac:dyDescent="0.25">
      <c r="B8" s="139">
        <v>3</v>
      </c>
      <c r="C8" s="140" t="s">
        <v>107</v>
      </c>
      <c r="D8" s="141"/>
      <c r="E8" s="142"/>
      <c r="F8" s="12" t="str">
        <f ca="1">INDIRECT(ADDRESS(31,6))&amp;":"&amp;INDIRECT(ADDRESS(31,7))</f>
        <v>11:13</v>
      </c>
      <c r="G8" s="7" t="str">
        <f ca="1">INDIRECT(ADDRESS(37,7))&amp;":"&amp;INDIRECT(ADDRESS(37,6))</f>
        <v>13:8</v>
      </c>
      <c r="H8" s="8" t="s">
        <v>24</v>
      </c>
      <c r="I8" s="7" t="str">
        <f ca="1">INDIRECT(ADDRESS(22,6))&amp;":"&amp;INDIRECT(ADDRESS(22,7))</f>
        <v>13:2</v>
      </c>
      <c r="J8" s="7" t="str">
        <f ca="1">INDIRECT(ADDRESS(26,7))&amp;":"&amp;INDIRECT(ADDRESS(26,6))</f>
        <v>8:13</v>
      </c>
      <c r="K8" s="11" t="str">
        <f ca="1">INDIRECT(ADDRESS(40,6))&amp;":"&amp;INDIRECT(ADDRESS(40,7))</f>
        <v>13:1</v>
      </c>
      <c r="L8" s="245">
        <f ca="1">IF(COUNT(F9:K9)=0,"",COUNTIF(F9:K9,"&gt;0")+0.5*COUNTIF(F9:K9,0))</f>
        <v>3</v>
      </c>
      <c r="M8" s="16"/>
      <c r="N8" s="246">
        <v>4</v>
      </c>
    </row>
    <row r="9" spans="2:14" ht="24" customHeight="1" x14ac:dyDescent="0.25">
      <c r="B9" s="132"/>
      <c r="C9" s="140"/>
      <c r="D9" s="141"/>
      <c r="E9" s="142"/>
      <c r="F9" s="22">
        <f ca="1">IF(LEN(INDIRECT(ADDRESS(ROW()-1, COLUMN())))=1,"",INDIRECT(ADDRESS(31,6))-INDIRECT(ADDRESS(31,7)))</f>
        <v>-2</v>
      </c>
      <c r="G9" s="16">
        <f ca="1">IF(LEN(INDIRECT(ADDRESS(ROW()-1, COLUMN())))=1,"",INDIRECT(ADDRESS(37,7))-INDIRECT(ADDRESS(37,6)))</f>
        <v>5</v>
      </c>
      <c r="H9" s="14" t="s">
        <v>24</v>
      </c>
      <c r="I9" s="16">
        <f ca="1">IF(LEN(INDIRECT(ADDRESS(ROW()-1, COLUMN())))=1,"",INDIRECT(ADDRESS(22,6))-INDIRECT(ADDRESS(22,7)))</f>
        <v>11</v>
      </c>
      <c r="J9" s="16">
        <f ca="1">IF(LEN(INDIRECT(ADDRESS(ROW()-1, COLUMN())))=1,"",INDIRECT(ADDRESS(26,7))-INDIRECT(ADDRESS(26,6)))</f>
        <v>-5</v>
      </c>
      <c r="K9" s="17">
        <f ca="1">IF(LEN(INDIRECT(ADDRESS(ROW()-1, COLUMN())))=1,"",INDIRECT(ADDRESS(40,6))-INDIRECT(ADDRESS(40,7)))</f>
        <v>12</v>
      </c>
      <c r="L9" s="245"/>
      <c r="M9" s="16">
        <f ca="1">IF(COUNT(F9:K9)=0,"",SUM(F9:K9))</f>
        <v>21</v>
      </c>
      <c r="N9" s="221"/>
    </row>
    <row r="10" spans="2:14" ht="24" customHeight="1" x14ac:dyDescent="0.25">
      <c r="B10" s="139">
        <v>4</v>
      </c>
      <c r="C10" s="140" t="s">
        <v>108</v>
      </c>
      <c r="D10" s="141"/>
      <c r="E10" s="142"/>
      <c r="F10" s="12" t="str">
        <f ca="1">INDIRECT(ADDRESS(36,7))&amp;":"&amp;INDIRECT(ADDRESS(36,6))</f>
        <v>8:13</v>
      </c>
      <c r="G10" s="7" t="str">
        <f ca="1">INDIRECT(ADDRESS(41,6))&amp;":"&amp;INDIRECT(ADDRESS(41,7))</f>
        <v>7:13</v>
      </c>
      <c r="H10" s="7" t="str">
        <f ca="1">INDIRECT(ADDRESS(22,7))&amp;":"&amp;INDIRECT(ADDRESS(22,6))</f>
        <v>2:13</v>
      </c>
      <c r="I10" s="8" t="s">
        <v>24</v>
      </c>
      <c r="J10" s="7" t="str">
        <f ca="1">INDIRECT(ADDRESS(32,6))&amp;":"&amp;INDIRECT(ADDRESS(32,7))</f>
        <v>7:13</v>
      </c>
      <c r="K10" s="11" t="str">
        <f ca="1">INDIRECT(ADDRESS(25,7))&amp;":"&amp;INDIRECT(ADDRESS(25,6))</f>
        <v>13:2</v>
      </c>
      <c r="L10" s="245">
        <f ca="1">IF(COUNT(F11:K11)=0,"",COUNTIF(F11:K11,"&gt;0")+0.5*COUNTIF(F11:K11,0))</f>
        <v>1</v>
      </c>
      <c r="M10" s="16"/>
      <c r="N10" s="246">
        <v>5</v>
      </c>
    </row>
    <row r="11" spans="2:14" ht="24" customHeight="1" x14ac:dyDescent="0.25">
      <c r="B11" s="132"/>
      <c r="C11" s="140"/>
      <c r="D11" s="141"/>
      <c r="E11" s="142"/>
      <c r="F11" s="22">
        <f ca="1">IF(LEN(INDIRECT(ADDRESS(ROW()-1, COLUMN())))=1,"",INDIRECT(ADDRESS(36,7))-INDIRECT(ADDRESS(36,6)))</f>
        <v>-5</v>
      </c>
      <c r="G11" s="16">
        <f ca="1">IF(LEN(INDIRECT(ADDRESS(ROW()-1, COLUMN())))=1,"",INDIRECT(ADDRESS(41,6))-INDIRECT(ADDRESS(41,7)))</f>
        <v>-6</v>
      </c>
      <c r="H11" s="16">
        <f ca="1">IF(LEN(INDIRECT(ADDRESS(ROW()-1, COLUMN())))=1,"",INDIRECT(ADDRESS(22,7))-INDIRECT(ADDRESS(22,6)))</f>
        <v>-11</v>
      </c>
      <c r="I11" s="14" t="s">
        <v>24</v>
      </c>
      <c r="J11" s="16">
        <f ca="1">IF(LEN(INDIRECT(ADDRESS(ROW()-1, COLUMN())))=1,"",INDIRECT(ADDRESS(32,6))-INDIRECT(ADDRESS(32,7)))</f>
        <v>-6</v>
      </c>
      <c r="K11" s="17">
        <f ca="1">IF(LEN(INDIRECT(ADDRESS(ROW()-1, COLUMN())))=1,"",INDIRECT(ADDRESS(25,7))-INDIRECT(ADDRESS(25,6)))</f>
        <v>11</v>
      </c>
      <c r="L11" s="245"/>
      <c r="M11" s="16">
        <f ca="1">IF(COUNT(F11:K11)=0,"",SUM(F11:K11))</f>
        <v>-17</v>
      </c>
      <c r="N11" s="221"/>
    </row>
    <row r="12" spans="2:14" ht="24" customHeight="1" x14ac:dyDescent="0.25">
      <c r="B12" s="139">
        <v>5</v>
      </c>
      <c r="C12" s="152" t="s">
        <v>110</v>
      </c>
      <c r="D12" s="153"/>
      <c r="E12" s="154"/>
      <c r="F12" s="12" t="str">
        <f ca="1">INDIRECT(ADDRESS(42,6))&amp;":"&amp;INDIRECT(ADDRESS(42,7))</f>
        <v>9:13</v>
      </c>
      <c r="G12" s="7" t="str">
        <f ca="1">INDIRECT(ADDRESS(21,7))&amp;":"&amp;INDIRECT(ADDRESS(21,6))</f>
        <v>8:13</v>
      </c>
      <c r="H12" s="7" t="str">
        <f ca="1">INDIRECT(ADDRESS(26,6))&amp;":"&amp;INDIRECT(ADDRESS(26,7))</f>
        <v>13:8</v>
      </c>
      <c r="I12" s="7" t="str">
        <f ca="1">INDIRECT(ADDRESS(32,7))&amp;":"&amp;INDIRECT(ADDRESS(32,6))</f>
        <v>13:7</v>
      </c>
      <c r="J12" s="8" t="s">
        <v>24</v>
      </c>
      <c r="K12" s="11" t="str">
        <f ca="1">INDIRECT(ADDRESS(35,7))&amp;":"&amp;INDIRECT(ADDRESS(35,6))</f>
        <v>13:2</v>
      </c>
      <c r="L12" s="245">
        <f ca="1">IF(COUNT(F13:K13)=0,"",COUNTIF(F13:K13,"&gt;0")+0.5*COUNTIF(F13:K13,0))</f>
        <v>3</v>
      </c>
      <c r="M12" s="16"/>
      <c r="N12" s="246">
        <v>3</v>
      </c>
    </row>
    <row r="13" spans="2:14" ht="24" customHeight="1" x14ac:dyDescent="0.25">
      <c r="B13" s="132"/>
      <c r="C13" s="152"/>
      <c r="D13" s="153"/>
      <c r="E13" s="154"/>
      <c r="F13" s="22">
        <f ca="1">IF(LEN(INDIRECT(ADDRESS(ROW()-1, COLUMN())))=1,"",INDIRECT(ADDRESS(42,6))-INDIRECT(ADDRESS(42,7)))</f>
        <v>-4</v>
      </c>
      <c r="G13" s="16">
        <f ca="1">IF(LEN(INDIRECT(ADDRESS(ROW()-1, COLUMN())))=1,"",INDIRECT(ADDRESS(21,7))-INDIRECT(ADDRESS(21,6)))</f>
        <v>-5</v>
      </c>
      <c r="H13" s="16">
        <f ca="1">IF(LEN(INDIRECT(ADDRESS(ROW()-1, COLUMN())))=1,"",INDIRECT(ADDRESS(26,6))-INDIRECT(ADDRESS(26,7)))</f>
        <v>5</v>
      </c>
      <c r="I13" s="16">
        <f ca="1">IF(LEN(INDIRECT(ADDRESS(ROW()-1, COLUMN())))=1,"",INDIRECT(ADDRESS(32,7))-INDIRECT(ADDRESS(32,6)))</f>
        <v>6</v>
      </c>
      <c r="J13" s="14" t="s">
        <v>24</v>
      </c>
      <c r="K13" s="17">
        <f ca="1">IF(LEN(INDIRECT(ADDRESS(ROW()-1, COLUMN())))=1,"",INDIRECT(ADDRESS(35,7))-INDIRECT(ADDRESS(35,6)))</f>
        <v>11</v>
      </c>
      <c r="L13" s="245"/>
      <c r="M13" s="16">
        <f ca="1">IF(COUNT(F13:K13)=0,"",SUM(F13:K13))</f>
        <v>13</v>
      </c>
      <c r="N13" s="221"/>
    </row>
    <row r="14" spans="2:14" ht="24" customHeight="1" x14ac:dyDescent="0.25">
      <c r="B14" s="139">
        <v>6</v>
      </c>
      <c r="C14" s="140" t="s">
        <v>109</v>
      </c>
      <c r="D14" s="141"/>
      <c r="E14" s="142"/>
      <c r="F14" s="12" t="str">
        <f ca="1">INDIRECT(ADDRESS(20,7))&amp;":"&amp;INDIRECT(ADDRESS(20,6))</f>
        <v>11:13</v>
      </c>
      <c r="G14" s="7" t="str">
        <f ca="1">INDIRECT(ADDRESS(30,7))&amp;":"&amp;INDIRECT(ADDRESS(30,6))</f>
        <v>5:13</v>
      </c>
      <c r="H14" s="7" t="str">
        <f ca="1">INDIRECT(ADDRESS(40,7))&amp;":"&amp;INDIRECT(ADDRESS(40,6))</f>
        <v>1:13</v>
      </c>
      <c r="I14" s="7" t="str">
        <f ca="1">INDIRECT(ADDRESS(25,6))&amp;":"&amp;INDIRECT(ADDRESS(25,7))</f>
        <v>2:13</v>
      </c>
      <c r="J14" s="7" t="str">
        <f ca="1">INDIRECT(ADDRESS(35,6))&amp;":"&amp;INDIRECT(ADDRESS(35,7))</f>
        <v>2:13</v>
      </c>
      <c r="K14" s="34" t="s">
        <v>24</v>
      </c>
      <c r="L14" s="245">
        <f ca="1">IF(COUNT(F15:K15)=0,"",COUNTIF(F15:K15,"&gt;0")+0.5*COUNTIF(F15:K15,0))</f>
        <v>0</v>
      </c>
      <c r="M14" s="16"/>
      <c r="N14" s="246">
        <v>6</v>
      </c>
    </row>
    <row r="15" spans="2:14" ht="24" customHeight="1" thickBot="1" x14ac:dyDescent="0.3">
      <c r="B15" s="143"/>
      <c r="C15" s="144"/>
      <c r="D15" s="145"/>
      <c r="E15" s="146"/>
      <c r="F15" s="19">
        <f ca="1">IF(LEN(INDIRECT(ADDRESS(ROW()-1, COLUMN())))=1,"",INDIRECT(ADDRESS(20,7))-INDIRECT(ADDRESS(20,6)))</f>
        <v>-2</v>
      </c>
      <c r="G15" s="18">
        <f ca="1">IF(LEN(INDIRECT(ADDRESS(ROW()-1, COLUMN())))=1,"",INDIRECT(ADDRESS(30,7))-INDIRECT(ADDRESS(30,6)))</f>
        <v>-8</v>
      </c>
      <c r="H15" s="18">
        <f ca="1">IF(LEN(INDIRECT(ADDRESS(ROW()-1, COLUMN())))=1,"",INDIRECT(ADDRESS(40,7))-INDIRECT(ADDRESS(40,6)))</f>
        <v>-12</v>
      </c>
      <c r="I15" s="18">
        <f ca="1">IF(LEN(INDIRECT(ADDRESS(ROW()-1, COLUMN())))=1,"",INDIRECT(ADDRESS(25,6))-INDIRECT(ADDRESS(25,7)))</f>
        <v>-11</v>
      </c>
      <c r="J15" s="18">
        <f ca="1">IF(LEN(INDIRECT(ADDRESS(ROW()-1, COLUMN())))=1,"",INDIRECT(ADDRESS(35,6))-INDIRECT(ADDRESS(35,7)))</f>
        <v>-11</v>
      </c>
      <c r="K15" s="15" t="s">
        <v>24</v>
      </c>
      <c r="L15" s="248"/>
      <c r="M15" s="18">
        <f ca="1">IF(COUNT(F15:K15)=0,"",SUM(F15:K15))</f>
        <v>-44</v>
      </c>
      <c r="N15" s="247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6" customFormat="1" ht="30" customHeight="1" thickBot="1" x14ac:dyDescent="0.4">
      <c r="A19" s="35"/>
      <c r="B19" s="147" t="s">
        <v>4</v>
      </c>
      <c r="C19" s="147"/>
      <c r="D19" s="147"/>
      <c r="E19" s="147"/>
      <c r="F19" s="147"/>
      <c r="G19" s="147"/>
      <c r="H19" s="147"/>
      <c r="I19" s="147"/>
      <c r="J19" s="147"/>
      <c r="K19" s="147"/>
    </row>
    <row r="20" spans="1:13" s="36" customFormat="1" ht="30" customHeight="1" thickBot="1" x14ac:dyDescent="0.4">
      <c r="A20" s="35"/>
      <c r="B20" s="37">
        <v>1</v>
      </c>
      <c r="C20" s="124" t="str">
        <f ca="1">IF(ISBLANK(INDIRECT(ADDRESS(B20*2+2,3))),"",INDIRECT(ADDRESS(B20*2+2,3)))</f>
        <v>Гаджиев Сеявуш</v>
      </c>
      <c r="D20" s="124"/>
      <c r="E20" s="125"/>
      <c r="F20" s="38">
        <v>13</v>
      </c>
      <c r="G20" s="39">
        <v>11</v>
      </c>
      <c r="H20" s="126" t="str">
        <f ca="1">IF(ISBLANK(INDIRECT(ADDRESS(K20*2+2,3))),"",INDIRECT(ADDRESS(K20*2+2,3)))</f>
        <v>Филатов Валерий</v>
      </c>
      <c r="I20" s="124"/>
      <c r="J20" s="124"/>
      <c r="K20" s="37">
        <v>6</v>
      </c>
      <c r="L20" s="40" t="s">
        <v>10</v>
      </c>
      <c r="M20" s="54">
        <v>1</v>
      </c>
    </row>
    <row r="21" spans="1:13" s="36" customFormat="1" ht="30" customHeight="1" thickBot="1" x14ac:dyDescent="0.4">
      <c r="A21" s="35"/>
      <c r="B21" s="37">
        <v>2</v>
      </c>
      <c r="C21" s="124" t="str">
        <f ca="1">IF(ISBLANK(INDIRECT(ADDRESS(B21*2+2,3))),"",INDIRECT(ADDRESS(B21*2+2,3)))</f>
        <v>Филатов Андрей</v>
      </c>
      <c r="D21" s="124"/>
      <c r="E21" s="125"/>
      <c r="F21" s="38">
        <v>13</v>
      </c>
      <c r="G21" s="39">
        <v>8</v>
      </c>
      <c r="H21" s="126" t="str">
        <f ca="1">IF(ISBLANK(INDIRECT(ADDRESS(K21*2+2,3))),"",INDIRECT(ADDRESS(K21*2+2,3)))</f>
        <v>Андрианмахаринжака</v>
      </c>
      <c r="I21" s="124"/>
      <c r="J21" s="124"/>
      <c r="K21" s="37">
        <v>5</v>
      </c>
      <c r="L21" s="40" t="s">
        <v>10</v>
      </c>
      <c r="M21" s="54">
        <v>2</v>
      </c>
    </row>
    <row r="22" spans="1:13" s="36" customFormat="1" ht="30" customHeight="1" thickBot="1" x14ac:dyDescent="0.4">
      <c r="A22" s="35"/>
      <c r="B22" s="37">
        <v>3</v>
      </c>
      <c r="C22" s="124" t="str">
        <f ca="1">IF(ISBLANK(INDIRECT(ADDRESS(B22*2+2,3))),"",INDIRECT(ADDRESS(B22*2+2,3)))</f>
        <v>Осокин Евгений</v>
      </c>
      <c r="D22" s="124"/>
      <c r="E22" s="125"/>
      <c r="F22" s="38">
        <v>13</v>
      </c>
      <c r="G22" s="39">
        <v>2</v>
      </c>
      <c r="H22" s="126" t="str">
        <f ca="1">IF(ISBLANK(INDIRECT(ADDRESS(K22*2+2,3))),"",INDIRECT(ADDRESS(K22*2+2,3)))</f>
        <v>Трофимов Александр</v>
      </c>
      <c r="I22" s="124"/>
      <c r="J22" s="124"/>
      <c r="K22" s="37">
        <v>4</v>
      </c>
      <c r="L22" s="40" t="s">
        <v>10</v>
      </c>
      <c r="M22" s="54">
        <v>3</v>
      </c>
    </row>
    <row r="23" spans="1:13" s="36" customFormat="1" ht="30" customHeight="1" x14ac:dyDescent="0.35">
      <c r="A23" s="35"/>
      <c r="M23" s="41"/>
    </row>
    <row r="24" spans="1:13" s="36" customFormat="1" ht="30" customHeight="1" thickBot="1" x14ac:dyDescent="0.4">
      <c r="A24" s="35"/>
      <c r="B24" s="147" t="s">
        <v>5</v>
      </c>
      <c r="C24" s="147"/>
      <c r="D24" s="147"/>
      <c r="E24" s="147"/>
      <c r="F24" s="147"/>
      <c r="G24" s="147"/>
      <c r="H24" s="147"/>
      <c r="I24" s="147"/>
      <c r="J24" s="147"/>
      <c r="K24" s="147"/>
      <c r="M24" s="41"/>
    </row>
    <row r="25" spans="1:13" s="36" customFormat="1" ht="30" customHeight="1" thickBot="1" x14ac:dyDescent="0.4">
      <c r="A25" s="35"/>
      <c r="B25" s="37">
        <v>6</v>
      </c>
      <c r="C25" s="124" t="str">
        <f ca="1">IF(ISBLANK(INDIRECT(ADDRESS(B25*2+2,3))),"",INDIRECT(ADDRESS(B25*2+2,3)))</f>
        <v>Филатов Валерий</v>
      </c>
      <c r="D25" s="124"/>
      <c r="E25" s="125"/>
      <c r="F25" s="38">
        <v>2</v>
      </c>
      <c r="G25" s="39">
        <v>13</v>
      </c>
      <c r="H25" s="126" t="str">
        <f ca="1">IF(ISBLANK(INDIRECT(ADDRESS(K25*2+2,3))),"",INDIRECT(ADDRESS(K25*2+2,3)))</f>
        <v>Трофимов Александр</v>
      </c>
      <c r="I25" s="124"/>
      <c r="J25" s="124"/>
      <c r="K25" s="37">
        <v>4</v>
      </c>
      <c r="L25" s="40" t="s">
        <v>10</v>
      </c>
      <c r="M25" s="54">
        <v>4</v>
      </c>
    </row>
    <row r="26" spans="1:13" s="36" customFormat="1" ht="30" customHeight="1" thickBot="1" x14ac:dyDescent="0.4">
      <c r="A26" s="35"/>
      <c r="B26" s="37">
        <v>5</v>
      </c>
      <c r="C26" s="124" t="str">
        <f ca="1">IF(ISBLANK(INDIRECT(ADDRESS(B26*2+2,3))),"",INDIRECT(ADDRESS(B26*2+2,3)))</f>
        <v>Андрианмахаринжака</v>
      </c>
      <c r="D26" s="124"/>
      <c r="E26" s="125"/>
      <c r="F26" s="38">
        <v>13</v>
      </c>
      <c r="G26" s="39">
        <v>8</v>
      </c>
      <c r="H26" s="126" t="str">
        <f ca="1">IF(ISBLANK(INDIRECT(ADDRESS(K26*2+2,3))),"",INDIRECT(ADDRESS(K26*2+2,3)))</f>
        <v>Осокин Евгений</v>
      </c>
      <c r="I26" s="124"/>
      <c r="J26" s="124"/>
      <c r="K26" s="37">
        <v>3</v>
      </c>
      <c r="L26" s="40" t="s">
        <v>10</v>
      </c>
      <c r="M26" s="54">
        <v>5</v>
      </c>
    </row>
    <row r="27" spans="1:13" s="36" customFormat="1" ht="30" customHeight="1" thickBot="1" x14ac:dyDescent="0.4">
      <c r="A27" s="35"/>
      <c r="B27" s="37">
        <v>1</v>
      </c>
      <c r="C27" s="124" t="str">
        <f ca="1">IF(ISBLANK(INDIRECT(ADDRESS(B27*2+2,3))),"",INDIRECT(ADDRESS(B27*2+2,3)))</f>
        <v>Гаджиев Сеявуш</v>
      </c>
      <c r="D27" s="124"/>
      <c r="E27" s="125"/>
      <c r="F27" s="38">
        <v>11</v>
      </c>
      <c r="G27" s="39">
        <v>13</v>
      </c>
      <c r="H27" s="126" t="str">
        <f ca="1">IF(ISBLANK(INDIRECT(ADDRESS(K27*2+2,3))),"",INDIRECT(ADDRESS(K27*2+2,3)))</f>
        <v>Филатов Андрей</v>
      </c>
      <c r="I27" s="124"/>
      <c r="J27" s="124"/>
      <c r="K27" s="37">
        <v>2</v>
      </c>
      <c r="L27" s="40" t="s">
        <v>10</v>
      </c>
      <c r="M27" s="54">
        <v>6</v>
      </c>
    </row>
    <row r="28" spans="1:13" s="36" customFormat="1" ht="30" customHeight="1" x14ac:dyDescent="0.35">
      <c r="A28" s="35"/>
      <c r="M28" s="41"/>
    </row>
    <row r="29" spans="1:13" s="36" customFormat="1" ht="30" customHeight="1" thickBot="1" x14ac:dyDescent="0.4">
      <c r="A29" s="35"/>
      <c r="B29" s="147" t="s">
        <v>6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s="36" customFormat="1" ht="30" customHeight="1" thickBot="1" x14ac:dyDescent="0.4">
      <c r="A30" s="35"/>
      <c r="B30" s="37">
        <v>2</v>
      </c>
      <c r="C30" s="124" t="str">
        <f ca="1">IF(ISBLANK(INDIRECT(ADDRESS(B30*2+2,3))),"",INDIRECT(ADDRESS(B30*2+2,3)))</f>
        <v>Филатов Андрей</v>
      </c>
      <c r="D30" s="124"/>
      <c r="E30" s="125"/>
      <c r="F30" s="38">
        <v>13</v>
      </c>
      <c r="G30" s="39">
        <v>5</v>
      </c>
      <c r="H30" s="126" t="str">
        <f ca="1">IF(ISBLANK(INDIRECT(ADDRESS(K30*2+2,3))),"",INDIRECT(ADDRESS(K30*2+2,3)))</f>
        <v>Филатов Валерий</v>
      </c>
      <c r="I30" s="124"/>
      <c r="J30" s="124"/>
      <c r="K30" s="37">
        <v>6</v>
      </c>
      <c r="L30" s="40" t="s">
        <v>10</v>
      </c>
      <c r="M30" s="54">
        <v>3</v>
      </c>
    </row>
    <row r="31" spans="1:13" s="36" customFormat="1" ht="30" customHeight="1" thickBot="1" x14ac:dyDescent="0.4">
      <c r="A31" s="35"/>
      <c r="B31" s="37">
        <v>3</v>
      </c>
      <c r="C31" s="124" t="str">
        <f ca="1">IF(ISBLANK(INDIRECT(ADDRESS(B31*2+2,3))),"",INDIRECT(ADDRESS(B31*2+2,3)))</f>
        <v>Осокин Евгений</v>
      </c>
      <c r="D31" s="124"/>
      <c r="E31" s="125"/>
      <c r="F31" s="38">
        <v>11</v>
      </c>
      <c r="G31" s="39">
        <v>13</v>
      </c>
      <c r="H31" s="126" t="str">
        <f ca="1">IF(ISBLANK(INDIRECT(ADDRESS(K31*2+2,3))),"",INDIRECT(ADDRESS(K31*2+2,3)))</f>
        <v>Гаджиев Сеявуш</v>
      </c>
      <c r="I31" s="124"/>
      <c r="J31" s="124"/>
      <c r="K31" s="37">
        <v>1</v>
      </c>
      <c r="L31" s="40" t="s">
        <v>10</v>
      </c>
      <c r="M31" s="54">
        <v>2</v>
      </c>
    </row>
    <row r="32" spans="1:13" s="36" customFormat="1" ht="30" customHeight="1" thickBot="1" x14ac:dyDescent="0.4">
      <c r="A32" s="35"/>
      <c r="B32" s="37">
        <v>4</v>
      </c>
      <c r="C32" s="124" t="str">
        <f ca="1">IF(ISBLANK(INDIRECT(ADDRESS(B32*2+2,3))),"",INDIRECT(ADDRESS(B32*2+2,3)))</f>
        <v>Трофимов Александр</v>
      </c>
      <c r="D32" s="124"/>
      <c r="E32" s="125"/>
      <c r="F32" s="38">
        <v>7</v>
      </c>
      <c r="G32" s="39">
        <v>13</v>
      </c>
      <c r="H32" s="126" t="str">
        <f ca="1">IF(ISBLANK(INDIRECT(ADDRESS(K32*2+2,3))),"",INDIRECT(ADDRESS(K32*2+2,3)))</f>
        <v>Андрианмахаринжака</v>
      </c>
      <c r="I32" s="124"/>
      <c r="J32" s="124"/>
      <c r="K32" s="37">
        <v>5</v>
      </c>
      <c r="L32" s="40" t="s">
        <v>10</v>
      </c>
      <c r="M32" s="54">
        <v>1</v>
      </c>
    </row>
    <row r="33" spans="1:13" s="36" customFormat="1" ht="30" customHeight="1" x14ac:dyDescent="0.35">
      <c r="A33" s="35"/>
      <c r="M33" s="41"/>
    </row>
    <row r="34" spans="1:13" s="36" customFormat="1" ht="30" customHeight="1" thickBot="1" x14ac:dyDescent="0.4">
      <c r="A34" s="35"/>
      <c r="B34" s="147" t="s">
        <v>7</v>
      </c>
      <c r="C34" s="147"/>
      <c r="D34" s="147"/>
      <c r="E34" s="147"/>
      <c r="F34" s="147"/>
      <c r="G34" s="147"/>
      <c r="H34" s="147"/>
      <c r="I34" s="147"/>
      <c r="J34" s="147"/>
      <c r="K34" s="147"/>
      <c r="M34" s="41"/>
    </row>
    <row r="35" spans="1:13" s="36" customFormat="1" ht="30" customHeight="1" thickBot="1" x14ac:dyDescent="0.4">
      <c r="A35" s="35"/>
      <c r="B35" s="37">
        <v>6</v>
      </c>
      <c r="C35" s="124" t="str">
        <f ca="1">IF(ISBLANK(INDIRECT(ADDRESS(B35*2+2,3))),"",INDIRECT(ADDRESS(B35*2+2,3)))</f>
        <v>Филатов Валерий</v>
      </c>
      <c r="D35" s="124"/>
      <c r="E35" s="125"/>
      <c r="F35" s="38">
        <v>2</v>
      </c>
      <c r="G35" s="39">
        <v>13</v>
      </c>
      <c r="H35" s="126" t="str">
        <f ca="1">IF(ISBLANK(INDIRECT(ADDRESS(K35*2+2,3))),"",INDIRECT(ADDRESS(K35*2+2,3)))</f>
        <v>Андрианмахаринжака</v>
      </c>
      <c r="I35" s="124"/>
      <c r="J35" s="124"/>
      <c r="K35" s="37">
        <v>5</v>
      </c>
      <c r="L35" s="40" t="s">
        <v>10</v>
      </c>
      <c r="M35" s="54">
        <v>6</v>
      </c>
    </row>
    <row r="36" spans="1:13" s="36" customFormat="1" ht="30" customHeight="1" thickBot="1" x14ac:dyDescent="0.4">
      <c r="A36" s="35"/>
      <c r="B36" s="37">
        <v>1</v>
      </c>
      <c r="C36" s="124" t="str">
        <f ca="1">IF(ISBLANK(INDIRECT(ADDRESS(B36*2+2,3))),"",INDIRECT(ADDRESS(B36*2+2,3)))</f>
        <v>Гаджиев Сеявуш</v>
      </c>
      <c r="D36" s="124"/>
      <c r="E36" s="125"/>
      <c r="F36" s="38">
        <v>13</v>
      </c>
      <c r="G36" s="39">
        <v>8</v>
      </c>
      <c r="H36" s="126" t="str">
        <f ca="1">IF(ISBLANK(INDIRECT(ADDRESS(K36*2+2,3))),"",INDIRECT(ADDRESS(K36*2+2,3)))</f>
        <v>Трофимов Александр</v>
      </c>
      <c r="I36" s="124"/>
      <c r="J36" s="124"/>
      <c r="K36" s="37">
        <v>4</v>
      </c>
      <c r="L36" s="40" t="s">
        <v>10</v>
      </c>
      <c r="M36" s="54">
        <v>5</v>
      </c>
    </row>
    <row r="37" spans="1:13" s="36" customFormat="1" ht="30" customHeight="1" thickBot="1" x14ac:dyDescent="0.4">
      <c r="A37" s="35"/>
      <c r="B37" s="37">
        <v>2</v>
      </c>
      <c r="C37" s="124" t="str">
        <f ca="1">IF(ISBLANK(INDIRECT(ADDRESS(B37*2+2,3))),"",INDIRECT(ADDRESS(B37*2+2,3)))</f>
        <v>Филатов Андрей</v>
      </c>
      <c r="D37" s="124"/>
      <c r="E37" s="125"/>
      <c r="F37" s="38">
        <v>8</v>
      </c>
      <c r="G37" s="39">
        <v>13</v>
      </c>
      <c r="H37" s="126" t="str">
        <f ca="1">IF(ISBLANK(INDIRECT(ADDRESS(K37*2+2,3))),"",INDIRECT(ADDRESS(K37*2+2,3)))</f>
        <v>Осокин Евгений</v>
      </c>
      <c r="I37" s="124"/>
      <c r="J37" s="124"/>
      <c r="K37" s="37">
        <v>3</v>
      </c>
      <c r="L37" s="40" t="s">
        <v>10</v>
      </c>
      <c r="M37" s="54">
        <v>4</v>
      </c>
    </row>
    <row r="38" spans="1:13" s="36" customFormat="1" ht="30" customHeight="1" x14ac:dyDescent="0.35">
      <c r="A38" s="35"/>
      <c r="M38" s="41"/>
    </row>
    <row r="39" spans="1:13" s="36" customFormat="1" ht="30" customHeight="1" thickBot="1" x14ac:dyDescent="0.4">
      <c r="A39" s="35"/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  <c r="M39" s="41"/>
    </row>
    <row r="40" spans="1:13" s="36" customFormat="1" ht="30" customHeight="1" thickBot="1" x14ac:dyDescent="0.4">
      <c r="A40" s="35"/>
      <c r="B40" s="37">
        <v>3</v>
      </c>
      <c r="C40" s="124" t="str">
        <f ca="1">IF(ISBLANK(INDIRECT(ADDRESS(B40*2+2,3))),"",INDIRECT(ADDRESS(B40*2+2,3)))</f>
        <v>Осокин Евгений</v>
      </c>
      <c r="D40" s="124"/>
      <c r="E40" s="125"/>
      <c r="F40" s="38">
        <v>13</v>
      </c>
      <c r="G40" s="39">
        <v>1</v>
      </c>
      <c r="H40" s="126" t="str">
        <f ca="1">IF(ISBLANK(INDIRECT(ADDRESS(K40*2+2,3))),"",INDIRECT(ADDRESS(K40*2+2,3)))</f>
        <v>Филатов Валерий</v>
      </c>
      <c r="I40" s="124"/>
      <c r="J40" s="124"/>
      <c r="K40" s="37">
        <v>6</v>
      </c>
      <c r="L40" s="40" t="s">
        <v>10</v>
      </c>
      <c r="M40" s="54">
        <v>1</v>
      </c>
    </row>
    <row r="41" spans="1:13" s="36" customFormat="1" ht="30" customHeight="1" thickBot="1" x14ac:dyDescent="0.4">
      <c r="A41" s="35"/>
      <c r="B41" s="37">
        <v>4</v>
      </c>
      <c r="C41" s="124" t="str">
        <f ca="1">IF(ISBLANK(INDIRECT(ADDRESS(B41*2+2,3))),"",INDIRECT(ADDRESS(B41*2+2,3)))</f>
        <v>Трофимов Александр</v>
      </c>
      <c r="D41" s="124"/>
      <c r="E41" s="125"/>
      <c r="F41" s="38">
        <v>7</v>
      </c>
      <c r="G41" s="39">
        <v>13</v>
      </c>
      <c r="H41" s="126" t="str">
        <f ca="1">IF(ISBLANK(INDIRECT(ADDRESS(K41*2+2,3))),"",INDIRECT(ADDRESS(K41*2+2,3)))</f>
        <v>Филатов Андрей</v>
      </c>
      <c r="I41" s="124"/>
      <c r="J41" s="124"/>
      <c r="K41" s="37">
        <v>2</v>
      </c>
      <c r="L41" s="40" t="s">
        <v>10</v>
      </c>
      <c r="M41" s="54">
        <v>2</v>
      </c>
    </row>
    <row r="42" spans="1:13" s="36" customFormat="1" ht="30" customHeight="1" thickBot="1" x14ac:dyDescent="0.4">
      <c r="A42" s="35"/>
      <c r="B42" s="37">
        <v>5</v>
      </c>
      <c r="C42" s="124" t="str">
        <f ca="1">IF(ISBLANK(INDIRECT(ADDRESS(B42*2+2,3))),"",INDIRECT(ADDRESS(B42*2+2,3)))</f>
        <v>Андрианмахаринжака</v>
      </c>
      <c r="D42" s="124"/>
      <c r="E42" s="125"/>
      <c r="F42" s="38">
        <v>9</v>
      </c>
      <c r="G42" s="39">
        <v>13</v>
      </c>
      <c r="H42" s="126" t="str">
        <f ca="1">IF(ISBLANK(INDIRECT(ADDRESS(K42*2+2,3))),"",INDIRECT(ADDRESS(K42*2+2,3)))</f>
        <v>Гаджиев Сеявуш</v>
      </c>
      <c r="I42" s="124"/>
      <c r="J42" s="124"/>
      <c r="K42" s="37">
        <v>1</v>
      </c>
      <c r="L42" s="40" t="s">
        <v>10</v>
      </c>
      <c r="M42" s="54">
        <v>3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C4" sqref="C4:E13"/>
    </sheetView>
  </sheetViews>
  <sheetFormatPr defaultRowHeight="15" x14ac:dyDescent="0.25"/>
  <cols>
    <col min="1" max="1" width="4" customWidth="1"/>
    <col min="2" max="12" width="10.28515625" customWidth="1"/>
    <col min="13" max="13" width="10.28515625" style="57" customWidth="1"/>
    <col min="14" max="15" width="10.28515625" customWidth="1"/>
  </cols>
  <sheetData>
    <row r="1" spans="1:13" ht="59.25" customHeight="1" x14ac:dyDescent="0.25">
      <c r="B1" s="253" t="s">
        <v>42</v>
      </c>
      <c r="C1" s="253"/>
      <c r="D1" s="253"/>
      <c r="E1" s="253"/>
      <c r="F1" s="253"/>
      <c r="G1" s="253"/>
      <c r="H1" s="253"/>
      <c r="I1" s="253"/>
      <c r="J1" s="253"/>
      <c r="K1" s="253"/>
      <c r="L1" t="s">
        <v>82</v>
      </c>
      <c r="M1" s="31">
        <v>46046</v>
      </c>
    </row>
    <row r="2" spans="1:13" ht="15.75" thickBot="1" x14ac:dyDescent="0.3">
      <c r="M2"/>
    </row>
    <row r="3" spans="1:13" ht="30" customHeight="1" thickBot="1" x14ac:dyDescent="0.3">
      <c r="A3" s="5"/>
      <c r="B3" s="81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81" t="s">
        <v>1</v>
      </c>
      <c r="L3" s="1" t="s">
        <v>3</v>
      </c>
      <c r="M3" s="21" t="s">
        <v>2</v>
      </c>
    </row>
    <row r="4" spans="1:13" ht="24" customHeight="1" x14ac:dyDescent="0.25">
      <c r="A4" s="5"/>
      <c r="B4" s="131">
        <v>1</v>
      </c>
      <c r="C4" s="133" t="s">
        <v>144</v>
      </c>
      <c r="D4" s="134"/>
      <c r="E4" s="135"/>
      <c r="F4" s="10" t="s">
        <v>24</v>
      </c>
      <c r="G4" s="6" t="str">
        <f ca="1">INDIRECT(ADDRESS(23,6))&amp;":"&amp;INDIRECT(ADDRESS(23,7))</f>
        <v>11:12</v>
      </c>
      <c r="H4" s="6" t="str">
        <f ca="1">INDIRECT(ADDRESS(26,7))&amp;":"&amp;INDIRECT(ADDRESS(26,6))</f>
        <v>6:13</v>
      </c>
      <c r="I4" s="6" t="str">
        <f ca="1">INDIRECT(ADDRESS(30,6))&amp;":"&amp;INDIRECT(ADDRESS(30,7))</f>
        <v>13:6</v>
      </c>
      <c r="J4" s="20" t="str">
        <f ca="1">INDIRECT(ADDRESS(35,7))&amp;":"&amp;INDIRECT(ADDRESS(35,6))</f>
        <v>13:1</v>
      </c>
      <c r="K4" s="150">
        <f ca="1">IF(COUNT(F5:J5)=0,"",COUNTIF(F5:J5,"&gt;0")+0.5*COUNTIF(F5:J5,0))</f>
        <v>2</v>
      </c>
      <c r="L4" s="23">
        <v>6</v>
      </c>
      <c r="M4" s="148">
        <v>2</v>
      </c>
    </row>
    <row r="5" spans="1:13" ht="24" customHeight="1" x14ac:dyDescent="0.25">
      <c r="A5" s="5"/>
      <c r="B5" s="132"/>
      <c r="C5" s="136"/>
      <c r="D5" s="137"/>
      <c r="E5" s="138"/>
      <c r="F5" s="13" t="s">
        <v>24</v>
      </c>
      <c r="G5" s="16">
        <f ca="1">IF(LEN(INDIRECT(ADDRESS(ROW()-1, COLUMN())))=1,"",INDIRECT(ADDRESS(23,6))-INDIRECT(ADDRESS(23,7)))</f>
        <v>-1</v>
      </c>
      <c r="H5" s="16">
        <f ca="1">IF(LEN(INDIRECT(ADDRESS(ROW()-1, COLUMN())))=1,"",INDIRECT(ADDRESS(26,7))-INDIRECT(ADDRESS(26,6)))</f>
        <v>-7</v>
      </c>
      <c r="I5" s="16">
        <f ca="1">IF(LEN(INDIRECT(ADDRESS(ROW()-1, COLUMN())))=1,"",INDIRECT(ADDRESS(30,6))-INDIRECT(ADDRESS(30,7)))</f>
        <v>7</v>
      </c>
      <c r="J5" s="17">
        <f ca="1">IF(LEN(INDIRECT(ADDRESS(ROW()-1, COLUMN())))=1,"",INDIRECT(ADDRESS(35,7))-INDIRECT(ADDRESS(35,6)))</f>
        <v>12</v>
      </c>
      <c r="K5" s="151"/>
      <c r="L5" s="16">
        <f ca="1">IF(COUNT(F5:J5)=0,"",SUM(F5:J5))</f>
        <v>11</v>
      </c>
      <c r="M5" s="149"/>
    </row>
    <row r="6" spans="1:13" ht="24" customHeight="1" x14ac:dyDescent="0.25">
      <c r="A6" s="5"/>
      <c r="B6" s="139">
        <v>2</v>
      </c>
      <c r="C6" s="140" t="s">
        <v>145</v>
      </c>
      <c r="D6" s="141"/>
      <c r="E6" s="142"/>
      <c r="F6" s="12" t="str">
        <f ca="1">INDIRECT(ADDRESS(23,7))&amp;":"&amp;INDIRECT(ADDRESS(23,6))</f>
        <v>12:11</v>
      </c>
      <c r="G6" s="8" t="s">
        <v>24</v>
      </c>
      <c r="H6" s="7" t="str">
        <f ca="1">INDIRECT(ADDRESS(31,6))&amp;":"&amp;INDIRECT(ADDRESS(31,7))</f>
        <v>10:12</v>
      </c>
      <c r="I6" s="7" t="str">
        <f ca="1">INDIRECT(ADDRESS(34,7))&amp;":"&amp;INDIRECT(ADDRESS(34,6))</f>
        <v>6:13</v>
      </c>
      <c r="J6" s="11" t="str">
        <f ca="1">INDIRECT(ADDRESS(18,6))&amp;":"&amp;INDIRECT(ADDRESS(18,7))</f>
        <v>11:8</v>
      </c>
      <c r="K6" s="151">
        <f ca="1">IF(COUNT(F7:J7)=0,"",COUNTIF(F7:J7,"&gt;0")+0.5*COUNTIF(F7:J7,0))</f>
        <v>2</v>
      </c>
      <c r="L6" s="16">
        <v>-6</v>
      </c>
      <c r="M6" s="149">
        <v>4</v>
      </c>
    </row>
    <row r="7" spans="1:13" ht="24" customHeight="1" x14ac:dyDescent="0.25">
      <c r="A7" s="5"/>
      <c r="B7" s="132"/>
      <c r="C7" s="140"/>
      <c r="D7" s="141"/>
      <c r="E7" s="142"/>
      <c r="F7" s="22">
        <f ca="1">IF(LEN(INDIRECT(ADDRESS(ROW()-1, COLUMN())))=1,"",INDIRECT(ADDRESS(23,7))-INDIRECT(ADDRESS(23,6)))</f>
        <v>1</v>
      </c>
      <c r="G7" s="14" t="s">
        <v>24</v>
      </c>
      <c r="H7" s="16">
        <f ca="1">IF(LEN(INDIRECT(ADDRESS(ROW()-1, COLUMN())))=1,"",INDIRECT(ADDRESS(31,6))-INDIRECT(ADDRESS(31,7)))</f>
        <v>-2</v>
      </c>
      <c r="I7" s="16">
        <f ca="1">IF(LEN(INDIRECT(ADDRESS(ROW()-1, COLUMN())))=1,"",INDIRECT(ADDRESS(34,7))-INDIRECT(ADDRESS(34,6)))</f>
        <v>-7</v>
      </c>
      <c r="J7" s="17">
        <f ca="1">IF(LEN(INDIRECT(ADDRESS(ROW()-1, COLUMN())))=1,"",INDIRECT(ADDRESS(18,6))-INDIRECT(ADDRESS(18,7)))</f>
        <v>3</v>
      </c>
      <c r="K7" s="151"/>
      <c r="L7" s="16">
        <f ca="1">IF(COUNT(F7:J7)=0,"",SUM(F7:J7))</f>
        <v>-5</v>
      </c>
      <c r="M7" s="149"/>
    </row>
    <row r="8" spans="1:13" ht="24" customHeight="1" x14ac:dyDescent="0.25">
      <c r="A8" s="5"/>
      <c r="B8" s="139">
        <v>3</v>
      </c>
      <c r="C8" s="136" t="s">
        <v>146</v>
      </c>
      <c r="D8" s="137"/>
      <c r="E8" s="138"/>
      <c r="F8" s="12" t="str">
        <f ca="1">INDIRECT(ADDRESS(26,6))&amp;":"&amp;INDIRECT(ADDRESS(26,7))</f>
        <v>13:6</v>
      </c>
      <c r="G8" s="7" t="str">
        <f ca="1">INDIRECT(ADDRESS(31,7))&amp;":"&amp;INDIRECT(ADDRESS(31,6))</f>
        <v>12:10</v>
      </c>
      <c r="H8" s="8" t="s">
        <v>24</v>
      </c>
      <c r="I8" s="7" t="str">
        <f ca="1">INDIRECT(ADDRESS(19,6))&amp;":"&amp;INDIRECT(ADDRESS(19,7))</f>
        <v>13:5</v>
      </c>
      <c r="J8" s="11" t="str">
        <f ca="1">INDIRECT(ADDRESS(22,7))&amp;":"&amp;INDIRECT(ADDRESS(22,6))</f>
        <v>13:6</v>
      </c>
      <c r="K8" s="151">
        <f ca="1">IF(COUNT(F9:J9)=0,"",COUNTIF(F9:J9,"&gt;0")+0.5*COUNTIF(F9:J9,0))</f>
        <v>4</v>
      </c>
      <c r="L8" s="16"/>
      <c r="M8" s="149">
        <v>1</v>
      </c>
    </row>
    <row r="9" spans="1:13" ht="24" customHeight="1" x14ac:dyDescent="0.25">
      <c r="A9" s="5"/>
      <c r="B9" s="132"/>
      <c r="C9" s="136"/>
      <c r="D9" s="137"/>
      <c r="E9" s="138"/>
      <c r="F9" s="22">
        <f ca="1">IF(LEN(INDIRECT(ADDRESS(ROW()-1, COLUMN())))=1,"",INDIRECT(ADDRESS(26,6))-INDIRECT(ADDRESS(26,7)))</f>
        <v>7</v>
      </c>
      <c r="G9" s="16">
        <f ca="1">IF(LEN(INDIRECT(ADDRESS(ROW()-1, COLUMN())))=1,"",INDIRECT(ADDRESS(31,7))-INDIRECT(ADDRESS(31,6)))</f>
        <v>2</v>
      </c>
      <c r="H9" s="14" t="s">
        <v>24</v>
      </c>
      <c r="I9" s="16">
        <f ca="1">IF(LEN(INDIRECT(ADDRESS(ROW()-1, COLUMN())))=1,"",INDIRECT(ADDRESS(19,6))-INDIRECT(ADDRESS(19,7)))</f>
        <v>8</v>
      </c>
      <c r="J9" s="17">
        <f ca="1">IF(LEN(INDIRECT(ADDRESS(ROW()-1, COLUMN())))=1,"",INDIRECT(ADDRESS(22,7))-INDIRECT(ADDRESS(22,6)))</f>
        <v>7</v>
      </c>
      <c r="K9" s="151"/>
      <c r="L9" s="16">
        <f ca="1">IF(COUNT(F9:J9)=0,"",SUM(F9:J9))</f>
        <v>24</v>
      </c>
      <c r="M9" s="149"/>
    </row>
    <row r="10" spans="1:13" ht="24" customHeight="1" x14ac:dyDescent="0.25">
      <c r="A10" s="5"/>
      <c r="B10" s="139">
        <v>4</v>
      </c>
      <c r="C10" s="152" t="s">
        <v>147</v>
      </c>
      <c r="D10" s="153"/>
      <c r="E10" s="154"/>
      <c r="F10" s="12" t="str">
        <f ca="1">INDIRECT(ADDRESS(30,7))&amp;":"&amp;INDIRECT(ADDRESS(30,6))</f>
        <v>6:13</v>
      </c>
      <c r="G10" s="7" t="str">
        <f ca="1">INDIRECT(ADDRESS(34,6))&amp;":"&amp;INDIRECT(ADDRESS(34,7))</f>
        <v>13:6</v>
      </c>
      <c r="H10" s="7" t="str">
        <f ca="1">INDIRECT(ADDRESS(19,7))&amp;":"&amp;INDIRECT(ADDRESS(19,6))</f>
        <v>5:13</v>
      </c>
      <c r="I10" s="8" t="s">
        <v>24</v>
      </c>
      <c r="J10" s="11" t="str">
        <f ca="1">INDIRECT(ADDRESS(27,6))&amp;":"&amp;INDIRECT(ADDRESS(27,7))</f>
        <v>13:5</v>
      </c>
      <c r="K10" s="151">
        <f ca="1">IF(COUNT(F11:J11)=0,"",COUNTIF(F11:J11,"&gt;0")+0.5*COUNTIF(F11:J11,0))</f>
        <v>2</v>
      </c>
      <c r="L10" s="16">
        <v>0</v>
      </c>
      <c r="M10" s="149">
        <v>3</v>
      </c>
    </row>
    <row r="11" spans="1:13" ht="24" customHeight="1" x14ac:dyDescent="0.25">
      <c r="A11" s="5"/>
      <c r="B11" s="132"/>
      <c r="C11" s="152"/>
      <c r="D11" s="153"/>
      <c r="E11" s="154"/>
      <c r="F11" s="22">
        <f ca="1">IF(LEN(INDIRECT(ADDRESS(ROW()-1, COLUMN())))=1,"",INDIRECT(ADDRESS(30,7))-INDIRECT(ADDRESS(30,6)))</f>
        <v>-7</v>
      </c>
      <c r="G11" s="16">
        <f ca="1">IF(LEN(INDIRECT(ADDRESS(ROW()-1, COLUMN())))=1,"",INDIRECT(ADDRESS(34,6))-INDIRECT(ADDRESS(34,7)))</f>
        <v>7</v>
      </c>
      <c r="H11" s="16">
        <f ca="1">IF(LEN(INDIRECT(ADDRESS(ROW()-1, COLUMN())))=1,"",INDIRECT(ADDRESS(19,7))-INDIRECT(ADDRESS(19,6)))</f>
        <v>-8</v>
      </c>
      <c r="I11" s="14" t="s">
        <v>24</v>
      </c>
      <c r="J11" s="17">
        <f ca="1">IF(LEN(INDIRECT(ADDRESS(ROW()-1, COLUMN())))=1,"",INDIRECT(ADDRESS(27,6))-INDIRECT(ADDRESS(27,7)))</f>
        <v>8</v>
      </c>
      <c r="K11" s="151"/>
      <c r="L11" s="16">
        <f ca="1">IF(COUNT(F11:J11)=0,"",SUM(F11:J11))</f>
        <v>0</v>
      </c>
      <c r="M11" s="149"/>
    </row>
    <row r="12" spans="1:13" ht="24" customHeight="1" x14ac:dyDescent="0.25">
      <c r="A12" s="5"/>
      <c r="B12" s="139">
        <v>5</v>
      </c>
      <c r="C12" s="140" t="s">
        <v>148</v>
      </c>
      <c r="D12" s="141"/>
      <c r="E12" s="142"/>
      <c r="F12" s="12" t="str">
        <f ca="1">INDIRECT(ADDRESS(35,6))&amp;":"&amp;INDIRECT(ADDRESS(35,7))</f>
        <v>1:13</v>
      </c>
      <c r="G12" s="7" t="str">
        <f ca="1">INDIRECT(ADDRESS(18,7))&amp;":"&amp;INDIRECT(ADDRESS(18,6))</f>
        <v>8:11</v>
      </c>
      <c r="H12" s="7" t="str">
        <f ca="1">INDIRECT(ADDRESS(22,6))&amp;":"&amp;INDIRECT(ADDRESS(22,7))</f>
        <v>6:13</v>
      </c>
      <c r="I12" s="7" t="str">
        <f ca="1">INDIRECT(ADDRESS(27,7))&amp;":"&amp;INDIRECT(ADDRESS(27,6))</f>
        <v>5:13</v>
      </c>
      <c r="J12" s="34" t="s">
        <v>24</v>
      </c>
      <c r="K12" s="151">
        <f ca="1">IF(COUNT(F13:J13)=0,"",COUNTIF(F13:J13,"&gt;0")+0.5*COUNTIF(F13:J13,0))</f>
        <v>0</v>
      </c>
      <c r="L12" s="16"/>
      <c r="M12" s="149">
        <v>5</v>
      </c>
    </row>
    <row r="13" spans="1:13" ht="24" customHeight="1" thickBot="1" x14ac:dyDescent="0.3">
      <c r="A13" s="5"/>
      <c r="B13" s="143"/>
      <c r="C13" s="144"/>
      <c r="D13" s="145"/>
      <c r="E13" s="146"/>
      <c r="F13" s="19">
        <f ca="1">IF(LEN(INDIRECT(ADDRESS(ROW()-1, COLUMN())))=1,"",INDIRECT(ADDRESS(35,6))-INDIRECT(ADDRESS(35,7)))</f>
        <v>-12</v>
      </c>
      <c r="G13" s="18">
        <f ca="1">IF(LEN(INDIRECT(ADDRESS(ROW()-1, COLUMN())))=1,"",INDIRECT(ADDRESS(18,7))-INDIRECT(ADDRESS(18,6)))</f>
        <v>-3</v>
      </c>
      <c r="H13" s="18">
        <f ca="1">IF(LEN(INDIRECT(ADDRESS(ROW()-1, COLUMN())))=1,"",INDIRECT(ADDRESS(22,6))-INDIRECT(ADDRESS(22,7)))</f>
        <v>-7</v>
      </c>
      <c r="I13" s="18">
        <f ca="1">IF(LEN(INDIRECT(ADDRESS(ROW()-1, COLUMN())))=1,"",INDIRECT(ADDRESS(27,7))-INDIRECT(ADDRESS(27,6)))</f>
        <v>-8</v>
      </c>
      <c r="J13" s="15" t="s">
        <v>24</v>
      </c>
      <c r="K13" s="156"/>
      <c r="L13" s="18">
        <f ca="1">IF(COUNT(F13:J13)=0,"",SUM(F13:J13))</f>
        <v>-30</v>
      </c>
      <c r="M13" s="155"/>
    </row>
    <row r="14" spans="1:13" x14ac:dyDescent="0.25">
      <c r="M14"/>
    </row>
    <row r="15" spans="1:13" x14ac:dyDescent="0.25">
      <c r="M15"/>
    </row>
    <row r="16" spans="1:13" x14ac:dyDescent="0.25">
      <c r="M16"/>
    </row>
    <row r="17" spans="2:13" ht="30" customHeight="1" thickBot="1" x14ac:dyDescent="0.3">
      <c r="B17" s="147" t="s">
        <v>4</v>
      </c>
      <c r="C17" s="147"/>
      <c r="D17" s="147"/>
      <c r="E17" s="147"/>
      <c r="F17" s="147"/>
      <c r="G17" s="147"/>
      <c r="H17" s="147"/>
      <c r="I17" s="147"/>
      <c r="J17" s="147"/>
      <c r="K17" s="147"/>
    </row>
    <row r="18" spans="2:13" ht="30" customHeight="1" thickBot="1" x14ac:dyDescent="0.4">
      <c r="B18" s="83">
        <v>2</v>
      </c>
      <c r="C18" s="124" t="str">
        <f ca="1">IF(ISBLANK(INDIRECT(ADDRESS(B18*2+2,3))),"",INDIRECT(ADDRESS(B18*2+2,3)))</f>
        <v>Кравцов Владимир</v>
      </c>
      <c r="D18" s="124"/>
      <c r="E18" s="125"/>
      <c r="F18" s="24">
        <v>11</v>
      </c>
      <c r="G18" s="25">
        <v>8</v>
      </c>
      <c r="H18" s="126" t="str">
        <f ca="1">IF(ISBLANK(INDIRECT(ADDRESS(K18*2+2,3))),"",INDIRECT(ADDRESS(K18*2+2,3)))</f>
        <v>Ницинский Станислав</v>
      </c>
      <c r="I18" s="124"/>
      <c r="J18" s="124"/>
      <c r="K18" s="83">
        <v>5</v>
      </c>
      <c r="L18" s="27" t="s">
        <v>10</v>
      </c>
      <c r="M18" s="84">
        <v>1</v>
      </c>
    </row>
    <row r="19" spans="2:13" ht="30" customHeight="1" thickBot="1" x14ac:dyDescent="0.4">
      <c r="B19" s="83">
        <v>3</v>
      </c>
      <c r="C19" s="124" t="str">
        <f ca="1">IF(ISBLANK(INDIRECT(ADDRESS(B19*2+2,3))),"",INDIRECT(ADDRESS(B19*2+2,3)))</f>
        <v>Дубовицкий Игорь</v>
      </c>
      <c r="D19" s="124"/>
      <c r="E19" s="125"/>
      <c r="F19" s="24">
        <v>13</v>
      </c>
      <c r="G19" s="25">
        <v>5</v>
      </c>
      <c r="H19" s="126" t="str">
        <f ca="1">IF(ISBLANK(INDIRECT(ADDRESS(K19*2+2,3))),"",INDIRECT(ADDRESS(K19*2+2,3)))</f>
        <v>Вдовенко Виталий</v>
      </c>
      <c r="I19" s="124"/>
      <c r="J19" s="124"/>
      <c r="K19" s="83">
        <v>4</v>
      </c>
      <c r="L19" s="27" t="s">
        <v>10</v>
      </c>
      <c r="M19" s="84">
        <v>3</v>
      </c>
    </row>
    <row r="20" spans="2:13" ht="30" customHeight="1" x14ac:dyDescent="0.25">
      <c r="M20" s="5"/>
    </row>
    <row r="21" spans="2:13" ht="30" customHeight="1" thickBot="1" x14ac:dyDescent="0.3">
      <c r="B21" s="147" t="s">
        <v>5</v>
      </c>
      <c r="C21" s="147"/>
      <c r="D21" s="147"/>
      <c r="E21" s="147"/>
      <c r="F21" s="147"/>
      <c r="G21" s="147"/>
      <c r="H21" s="147"/>
      <c r="I21" s="147"/>
      <c r="J21" s="147"/>
      <c r="K21" s="147"/>
      <c r="M21" s="5"/>
    </row>
    <row r="22" spans="2:13" ht="30" customHeight="1" thickBot="1" x14ac:dyDescent="0.4">
      <c r="B22" s="83">
        <v>5</v>
      </c>
      <c r="C22" s="124" t="str">
        <f ca="1">IF(ISBLANK(INDIRECT(ADDRESS(B22*2+2,3))),"",INDIRECT(ADDRESS(B22*2+2,3)))</f>
        <v>Ницинский Станислав</v>
      </c>
      <c r="D22" s="124"/>
      <c r="E22" s="125"/>
      <c r="F22" s="24">
        <v>6</v>
      </c>
      <c r="G22" s="25">
        <v>13</v>
      </c>
      <c r="H22" s="126" t="str">
        <f ca="1">IF(ISBLANK(INDIRECT(ADDRESS(K22*2+2,3))),"",INDIRECT(ADDRESS(K22*2+2,3)))</f>
        <v>Дубовицкий Игорь</v>
      </c>
      <c r="I22" s="124"/>
      <c r="J22" s="124"/>
      <c r="K22" s="83">
        <v>3</v>
      </c>
      <c r="L22" s="27" t="s">
        <v>10</v>
      </c>
      <c r="M22" s="84">
        <v>4</v>
      </c>
    </row>
    <row r="23" spans="2:13" ht="30" customHeight="1" thickBot="1" x14ac:dyDescent="0.4">
      <c r="B23" s="83">
        <v>1</v>
      </c>
      <c r="C23" s="124" t="str">
        <f ca="1">IF(ISBLANK(INDIRECT(ADDRESS(B23*2+2,3))),"",INDIRECT(ADDRESS(B23*2+2,3)))</f>
        <v>Петрушко Алексей</v>
      </c>
      <c r="D23" s="124"/>
      <c r="E23" s="125"/>
      <c r="F23" s="24">
        <v>11</v>
      </c>
      <c r="G23" s="25">
        <v>12</v>
      </c>
      <c r="H23" s="126" t="str">
        <f ca="1">IF(ISBLANK(INDIRECT(ADDRESS(K23*2+2,3))),"",INDIRECT(ADDRESS(K23*2+2,3)))</f>
        <v>Кравцов Владимир</v>
      </c>
      <c r="I23" s="124"/>
      <c r="J23" s="124"/>
      <c r="K23" s="83">
        <v>2</v>
      </c>
      <c r="L23" s="27" t="s">
        <v>10</v>
      </c>
      <c r="M23" s="84">
        <v>6</v>
      </c>
    </row>
    <row r="24" spans="2:13" ht="30" customHeight="1" x14ac:dyDescent="0.25">
      <c r="M24" s="5"/>
    </row>
    <row r="25" spans="2:13" ht="30" customHeight="1" thickBot="1" x14ac:dyDescent="0.3">
      <c r="B25" s="147" t="s">
        <v>6</v>
      </c>
      <c r="C25" s="147"/>
      <c r="D25" s="147"/>
      <c r="E25" s="147"/>
      <c r="F25" s="147"/>
      <c r="G25" s="147"/>
      <c r="H25" s="147"/>
      <c r="I25" s="147"/>
      <c r="J25" s="147"/>
      <c r="K25" s="147"/>
      <c r="M25" s="5"/>
    </row>
    <row r="26" spans="2:13" ht="30" customHeight="1" thickBot="1" x14ac:dyDescent="0.4">
      <c r="B26" s="83">
        <v>3</v>
      </c>
      <c r="C26" s="124" t="str">
        <f ca="1">IF(ISBLANK(INDIRECT(ADDRESS(B26*2+2,3))),"",INDIRECT(ADDRESS(B26*2+2,3)))</f>
        <v>Дубовицкий Игорь</v>
      </c>
      <c r="D26" s="124"/>
      <c r="E26" s="125"/>
      <c r="F26" s="24">
        <v>13</v>
      </c>
      <c r="G26" s="25">
        <v>6</v>
      </c>
      <c r="H26" s="126" t="str">
        <f ca="1">IF(ISBLANK(INDIRECT(ADDRESS(K26*2+2,3))),"",INDIRECT(ADDRESS(K26*2+2,3)))</f>
        <v>Петрушко Алексей</v>
      </c>
      <c r="I26" s="124"/>
      <c r="J26" s="124"/>
      <c r="K26" s="83">
        <v>1</v>
      </c>
      <c r="L26" s="27" t="s">
        <v>10</v>
      </c>
      <c r="M26" s="84">
        <v>3</v>
      </c>
    </row>
    <row r="27" spans="2:13" ht="30" customHeight="1" thickBot="1" x14ac:dyDescent="0.4">
      <c r="B27" s="83">
        <v>4</v>
      </c>
      <c r="C27" s="124" t="str">
        <f ca="1">IF(ISBLANK(INDIRECT(ADDRESS(B27*2+2,3))),"",INDIRECT(ADDRESS(B27*2+2,3)))</f>
        <v>Вдовенко Виталий</v>
      </c>
      <c r="D27" s="124"/>
      <c r="E27" s="125"/>
      <c r="F27" s="24">
        <v>13</v>
      </c>
      <c r="G27" s="25">
        <v>5</v>
      </c>
      <c r="H27" s="126" t="str">
        <f ca="1">IF(ISBLANK(INDIRECT(ADDRESS(K27*2+2,3))),"",INDIRECT(ADDRESS(K27*2+2,3)))</f>
        <v>Ницинский Станислав</v>
      </c>
      <c r="I27" s="124"/>
      <c r="J27" s="124"/>
      <c r="K27" s="83">
        <v>5</v>
      </c>
      <c r="L27" s="27" t="s">
        <v>10</v>
      </c>
      <c r="M27" s="84">
        <v>1</v>
      </c>
    </row>
    <row r="28" spans="2:13" ht="30" customHeight="1" x14ac:dyDescent="0.25">
      <c r="M28" s="5"/>
    </row>
    <row r="29" spans="2:13" ht="30" customHeight="1" thickBot="1" x14ac:dyDescent="0.3">
      <c r="B29" s="147" t="s">
        <v>7</v>
      </c>
      <c r="C29" s="147"/>
      <c r="D29" s="147"/>
      <c r="E29" s="147"/>
      <c r="F29" s="147"/>
      <c r="G29" s="147"/>
      <c r="H29" s="147"/>
      <c r="I29" s="147"/>
      <c r="J29" s="147"/>
      <c r="K29" s="147"/>
      <c r="M29" s="5"/>
    </row>
    <row r="30" spans="2:13" ht="30" customHeight="1" thickBot="1" x14ac:dyDescent="0.4">
      <c r="B30" s="83">
        <v>1</v>
      </c>
      <c r="C30" s="124" t="str">
        <f ca="1">IF(ISBLANK(INDIRECT(ADDRESS(B30*2+2,3))),"",INDIRECT(ADDRESS(B30*2+2,3)))</f>
        <v>Петрушко Алексей</v>
      </c>
      <c r="D30" s="124"/>
      <c r="E30" s="125"/>
      <c r="F30" s="24">
        <v>13</v>
      </c>
      <c r="G30" s="25">
        <v>6</v>
      </c>
      <c r="H30" s="126" t="str">
        <f ca="1">IF(ISBLANK(INDIRECT(ADDRESS(K30*2+2,3))),"",INDIRECT(ADDRESS(K30*2+2,3)))</f>
        <v>Вдовенко Виталий</v>
      </c>
      <c r="I30" s="124"/>
      <c r="J30" s="124"/>
      <c r="K30" s="83">
        <v>4</v>
      </c>
      <c r="L30" s="27" t="s">
        <v>10</v>
      </c>
      <c r="M30" s="84">
        <v>2</v>
      </c>
    </row>
    <row r="31" spans="2:13" ht="30" customHeight="1" thickBot="1" x14ac:dyDescent="0.4">
      <c r="B31" s="83">
        <v>2</v>
      </c>
      <c r="C31" s="124" t="str">
        <f ca="1">IF(ISBLANK(INDIRECT(ADDRESS(B31*2+2,3))),"",INDIRECT(ADDRESS(B31*2+2,3)))</f>
        <v>Кравцов Владимир</v>
      </c>
      <c r="D31" s="124"/>
      <c r="E31" s="125"/>
      <c r="F31" s="24">
        <v>10</v>
      </c>
      <c r="G31" s="25">
        <v>12</v>
      </c>
      <c r="H31" s="126" t="str">
        <f ca="1">IF(ISBLANK(INDIRECT(ADDRESS(K31*2+2,3))),"",INDIRECT(ADDRESS(K31*2+2,3)))</f>
        <v>Дубовицкий Игорь</v>
      </c>
      <c r="I31" s="124"/>
      <c r="J31" s="124"/>
      <c r="K31" s="83">
        <v>3</v>
      </c>
      <c r="L31" s="27" t="s">
        <v>10</v>
      </c>
      <c r="M31" s="84">
        <v>3</v>
      </c>
    </row>
    <row r="32" spans="2:13" ht="30" customHeight="1" x14ac:dyDescent="0.25">
      <c r="M32" s="5"/>
    </row>
    <row r="33" spans="2:13" ht="30" customHeight="1" thickBot="1" x14ac:dyDescent="0.3">
      <c r="B33" s="147" t="s">
        <v>8</v>
      </c>
      <c r="C33" s="147"/>
      <c r="D33" s="147"/>
      <c r="E33" s="147"/>
      <c r="F33" s="147"/>
      <c r="G33" s="147"/>
      <c r="H33" s="147"/>
      <c r="I33" s="147"/>
      <c r="J33" s="147"/>
      <c r="K33" s="147"/>
      <c r="M33" s="5"/>
    </row>
    <row r="34" spans="2:13" ht="30" customHeight="1" thickBot="1" x14ac:dyDescent="0.4">
      <c r="B34" s="83">
        <v>4</v>
      </c>
      <c r="C34" s="124" t="str">
        <f ca="1">IF(ISBLANK(INDIRECT(ADDRESS(B34*2+2,3))),"",INDIRECT(ADDRESS(B34*2+2,3)))</f>
        <v>Вдовенко Виталий</v>
      </c>
      <c r="D34" s="124"/>
      <c r="E34" s="125"/>
      <c r="F34" s="24">
        <v>13</v>
      </c>
      <c r="G34" s="25">
        <v>6</v>
      </c>
      <c r="H34" s="126" t="str">
        <f ca="1">IF(ISBLANK(INDIRECT(ADDRESS(K34*2+2,3))),"",INDIRECT(ADDRESS(K34*2+2,3)))</f>
        <v>Кравцов Владимир</v>
      </c>
      <c r="I34" s="124"/>
      <c r="J34" s="124"/>
      <c r="K34" s="83">
        <v>2</v>
      </c>
      <c r="L34" s="27" t="s">
        <v>10</v>
      </c>
      <c r="M34" s="84">
        <v>6</v>
      </c>
    </row>
    <row r="35" spans="2:13" ht="30" customHeight="1" thickBot="1" x14ac:dyDescent="0.4">
      <c r="B35" s="83">
        <v>5</v>
      </c>
      <c r="C35" s="124" t="str">
        <f ca="1">IF(ISBLANK(INDIRECT(ADDRESS(B35*2+2,3))),"",INDIRECT(ADDRESS(B35*2+2,3)))</f>
        <v>Ницинский Станислав</v>
      </c>
      <c r="D35" s="124"/>
      <c r="E35" s="125"/>
      <c r="F35" s="24">
        <v>1</v>
      </c>
      <c r="G35" s="25">
        <v>13</v>
      </c>
      <c r="H35" s="126" t="str">
        <f ca="1">IF(ISBLANK(INDIRECT(ADDRESS(K35*2+2,3))),"",INDIRECT(ADDRESS(K35*2+2,3)))</f>
        <v>Петрушко Алексей</v>
      </c>
      <c r="I35" s="124"/>
      <c r="J35" s="124"/>
      <c r="K35" s="83">
        <v>1</v>
      </c>
      <c r="L35" s="27" t="s">
        <v>10</v>
      </c>
      <c r="M35" s="84">
        <v>4</v>
      </c>
    </row>
  </sheetData>
  <mergeCells count="47">
    <mergeCell ref="C23:E23"/>
    <mergeCell ref="H23:J23"/>
    <mergeCell ref="B25:K25"/>
    <mergeCell ref="B33:K33"/>
    <mergeCell ref="C34:E34"/>
    <mergeCell ref="H34:J34"/>
    <mergeCell ref="B1:K1"/>
    <mergeCell ref="C3:E3"/>
    <mergeCell ref="B4:B5"/>
    <mergeCell ref="C4:E5"/>
    <mergeCell ref="K4:K5"/>
    <mergeCell ref="M4:M5"/>
    <mergeCell ref="B6:B7"/>
    <mergeCell ref="C6:E7"/>
    <mergeCell ref="B8:B9"/>
    <mergeCell ref="C8:E9"/>
    <mergeCell ref="K6:K7"/>
    <mergeCell ref="M6:M7"/>
    <mergeCell ref="K8:K9"/>
    <mergeCell ref="M8:M9"/>
    <mergeCell ref="M10:M11"/>
    <mergeCell ref="K12:K13"/>
    <mergeCell ref="M12:M13"/>
    <mergeCell ref="C22:E22"/>
    <mergeCell ref="H22:J22"/>
    <mergeCell ref="B17:K17"/>
    <mergeCell ref="C18:E18"/>
    <mergeCell ref="H18:J18"/>
    <mergeCell ref="C19:E19"/>
    <mergeCell ref="H19:J19"/>
    <mergeCell ref="B21:K21"/>
    <mergeCell ref="B10:B11"/>
    <mergeCell ref="C10:E11"/>
    <mergeCell ref="B12:B13"/>
    <mergeCell ref="C12:E13"/>
    <mergeCell ref="K10:K11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</mergeCells>
  <pageMargins left="0.25" right="0.25" top="0.75" bottom="0.75" header="0.3" footer="0.3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4" sqref="C4:E1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customFormat="1" ht="38.25" customHeight="1" x14ac:dyDescent="0.25">
      <c r="B1" s="127" t="s">
        <v>43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18</v>
      </c>
      <c r="M1" t="s">
        <v>45</v>
      </c>
      <c r="N1" s="31">
        <v>46046</v>
      </c>
    </row>
    <row r="2" spans="2:14" customFormat="1" ht="15.75" thickBot="1" x14ac:dyDescent="0.3"/>
    <row r="3" spans="2:14" customFormat="1" ht="30" customHeight="1" thickBot="1" x14ac:dyDescent="0.3">
      <c r="B3" s="81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customFormat="1" ht="24" customHeight="1" x14ac:dyDescent="0.25">
      <c r="B4" s="131">
        <v>1</v>
      </c>
      <c r="C4" s="133" t="s">
        <v>150</v>
      </c>
      <c r="D4" s="134"/>
      <c r="E4" s="135"/>
      <c r="F4" s="10" t="s">
        <v>24</v>
      </c>
      <c r="G4" s="6" t="str">
        <f ca="1">INDIRECT(ADDRESS(27,6))&amp;":"&amp;INDIRECT(ADDRESS(27,7))</f>
        <v>13:8</v>
      </c>
      <c r="H4" s="6" t="str">
        <f ca="1">INDIRECT(ADDRESS(31,7))&amp;":"&amp;INDIRECT(ADDRESS(31,6))</f>
        <v>13:8</v>
      </c>
      <c r="I4" s="6" t="str">
        <f ca="1">INDIRECT(ADDRESS(36,6))&amp;":"&amp;INDIRECT(ADDRESS(36,7))</f>
        <v>11:12</v>
      </c>
      <c r="J4" s="6" t="str">
        <f ca="1">INDIRECT(ADDRESS(42,7))&amp;":"&amp;INDIRECT(ADDRESS(42,6))</f>
        <v>13:5</v>
      </c>
      <c r="K4" s="20" t="str">
        <f ca="1">INDIRECT(ADDRESS(20,6))&amp;":"&amp;INDIRECT(ADDRESS(20,7))</f>
        <v>13:2</v>
      </c>
      <c r="L4" s="244">
        <f ca="1">IF(COUNT(F5:K5)=0,"",COUNTIF(F5:K5,"&gt;0")+0.5*COUNTIF(F5:K5,0))</f>
        <v>4</v>
      </c>
      <c r="M4" s="23">
        <v>4</v>
      </c>
      <c r="N4" s="219">
        <v>1</v>
      </c>
    </row>
    <row r="5" spans="2:14" customFormat="1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COLUMN())))=1,"",INDIRECT(ADDRESS(27,6))-INDIRECT(ADDRESS(27,7)))</f>
        <v>5</v>
      </c>
      <c r="H5" s="16">
        <f ca="1">IF(LEN(INDIRECT(ADDRESS(ROW()-1, COLUMN())))=1,"",INDIRECT(ADDRESS(31,7))-INDIRECT(ADDRESS(31,6)))</f>
        <v>5</v>
      </c>
      <c r="I5" s="16">
        <f ca="1">IF(LEN(INDIRECT(ADDRESS(ROW()-1, COLUMN())))=1,"",INDIRECT(ADDRESS(36,6))-INDIRECT(ADDRESS(36,7)))</f>
        <v>-1</v>
      </c>
      <c r="J5" s="16">
        <f ca="1">IF(LEN(INDIRECT(ADDRESS(ROW()-1, COLUMN())))=1,"",INDIRECT(ADDRESS(42,7))-INDIRECT(ADDRESS(42,6)))</f>
        <v>8</v>
      </c>
      <c r="K5" s="17">
        <f ca="1">IF(LEN(INDIRECT(ADDRESS(ROW()-1, COLUMN())))=1,"",INDIRECT(ADDRESS(20,6))-INDIRECT(ADDRESS(20,7)))</f>
        <v>11</v>
      </c>
      <c r="L5" s="245"/>
      <c r="M5" s="16">
        <f ca="1">IF(COUNT(F5:K5)=0,"",SUM(F5:K5))</f>
        <v>28</v>
      </c>
      <c r="N5" s="221"/>
    </row>
    <row r="6" spans="2:14" customFormat="1" ht="24" customHeight="1" x14ac:dyDescent="0.25">
      <c r="B6" s="139">
        <v>2</v>
      </c>
      <c r="C6" s="140" t="s">
        <v>151</v>
      </c>
      <c r="D6" s="141"/>
      <c r="E6" s="142"/>
      <c r="F6" s="12" t="str">
        <f ca="1">INDIRECT(ADDRESS(27,7))&amp;":"&amp;INDIRECT(ADDRESS(27,6))</f>
        <v>8:13</v>
      </c>
      <c r="G6" s="8" t="s">
        <v>24</v>
      </c>
      <c r="H6" s="7" t="str">
        <f ca="1">INDIRECT(ADDRESS(37,6))&amp;":"&amp;INDIRECT(ADDRESS(37,7))</f>
        <v>4:13</v>
      </c>
      <c r="I6" s="7" t="str">
        <f ca="1">INDIRECT(ADDRESS(41,7))&amp;":"&amp;INDIRECT(ADDRESS(41,6))</f>
        <v>9:13</v>
      </c>
      <c r="J6" s="7" t="str">
        <f ca="1">INDIRECT(ADDRESS(21,6))&amp;":"&amp;INDIRECT(ADDRESS(21,7))</f>
        <v>13:9</v>
      </c>
      <c r="K6" s="11" t="str">
        <f ca="1">INDIRECT(ADDRESS(30,6))&amp;":"&amp;INDIRECT(ADDRESS(30,7))</f>
        <v>13:10</v>
      </c>
      <c r="L6" s="245">
        <f ca="1">IF(COUNT(F7:K7)=0,"",COUNTIF(F7:K7,"&gt;0")+0.5*COUNTIF(F7:K7,0))</f>
        <v>2</v>
      </c>
      <c r="M6" s="16"/>
      <c r="N6" s="246">
        <v>4</v>
      </c>
    </row>
    <row r="7" spans="2:14" customFormat="1" ht="24" customHeight="1" x14ac:dyDescent="0.25">
      <c r="B7" s="132"/>
      <c r="C7" s="140"/>
      <c r="D7" s="141"/>
      <c r="E7" s="142"/>
      <c r="F7" s="22">
        <f ca="1">IF(LEN(INDIRECT(ADDRESS(ROW()-1, COLUMN())))=1,"",INDIRECT(ADDRESS(27,7))-INDIRECT(ADDRESS(27,6)))</f>
        <v>-5</v>
      </c>
      <c r="G7" s="14" t="s">
        <v>24</v>
      </c>
      <c r="H7" s="16">
        <f ca="1">IF(LEN(INDIRECT(ADDRESS(ROW()-1, COLUMN())))=1,"",INDIRECT(ADDRESS(37,6))-INDIRECT(ADDRESS(37,7)))</f>
        <v>-9</v>
      </c>
      <c r="I7" s="16">
        <f ca="1">IF(LEN(INDIRECT(ADDRESS(ROW()-1, COLUMN())))=1,"",INDIRECT(ADDRESS(41,7))-INDIRECT(ADDRESS(41,6)))</f>
        <v>-4</v>
      </c>
      <c r="J7" s="16">
        <f ca="1">IF(LEN(INDIRECT(ADDRESS(ROW()-1, COLUMN())))=1,"",INDIRECT(ADDRESS(21,6))-INDIRECT(ADDRESS(21,7)))</f>
        <v>4</v>
      </c>
      <c r="K7" s="17">
        <f ca="1">IF(LEN(INDIRECT(ADDRESS(ROW()-1, COLUMN())))=1,"",INDIRECT(ADDRESS(30,6))-INDIRECT(ADDRESS(30,7)))</f>
        <v>3</v>
      </c>
      <c r="L7" s="245"/>
      <c r="M7" s="16">
        <f ca="1">IF(COUNT(F7:K7)=0,"",SUM(F7:K7))</f>
        <v>-11</v>
      </c>
      <c r="N7" s="221"/>
    </row>
    <row r="8" spans="2:14" customFormat="1" ht="24" customHeight="1" x14ac:dyDescent="0.25">
      <c r="B8" s="139">
        <v>3</v>
      </c>
      <c r="C8" s="136" t="s">
        <v>152</v>
      </c>
      <c r="D8" s="137"/>
      <c r="E8" s="138"/>
      <c r="F8" s="12" t="str">
        <f ca="1">INDIRECT(ADDRESS(31,6))&amp;":"&amp;INDIRECT(ADDRESS(31,7))</f>
        <v>8:13</v>
      </c>
      <c r="G8" s="7" t="str">
        <f ca="1">INDIRECT(ADDRESS(37,7))&amp;":"&amp;INDIRECT(ADDRESS(37,6))</f>
        <v>13:4</v>
      </c>
      <c r="H8" s="8" t="s">
        <v>24</v>
      </c>
      <c r="I8" s="7" t="str">
        <f ca="1">INDIRECT(ADDRESS(22,6))&amp;":"&amp;INDIRECT(ADDRESS(22,7))</f>
        <v>13:8</v>
      </c>
      <c r="J8" s="7" t="str">
        <f ca="1">INDIRECT(ADDRESS(26,7))&amp;":"&amp;INDIRECT(ADDRESS(26,6))</f>
        <v>13:10</v>
      </c>
      <c r="K8" s="11" t="str">
        <f ca="1">INDIRECT(ADDRESS(40,6))&amp;":"&amp;INDIRECT(ADDRESS(40,7))</f>
        <v>13:2</v>
      </c>
      <c r="L8" s="245">
        <f ca="1">IF(COUNT(F9:K9)=0,"",COUNTIF(F9:K9,"&gt;0")+0.5*COUNTIF(F9:K9,0))</f>
        <v>4</v>
      </c>
      <c r="M8" s="16">
        <v>0</v>
      </c>
      <c r="N8" s="246">
        <v>2</v>
      </c>
    </row>
    <row r="9" spans="2:14" customFormat="1" ht="24" customHeight="1" x14ac:dyDescent="0.25">
      <c r="B9" s="132"/>
      <c r="C9" s="136"/>
      <c r="D9" s="137"/>
      <c r="E9" s="138"/>
      <c r="F9" s="22">
        <f ca="1">IF(LEN(INDIRECT(ADDRESS(ROW()-1, COLUMN())))=1,"",INDIRECT(ADDRESS(31,6))-INDIRECT(ADDRESS(31,7)))</f>
        <v>-5</v>
      </c>
      <c r="G9" s="16">
        <f ca="1">IF(LEN(INDIRECT(ADDRESS(ROW()-1, COLUMN())))=1,"",INDIRECT(ADDRESS(37,7))-INDIRECT(ADDRESS(37,6)))</f>
        <v>9</v>
      </c>
      <c r="H9" s="14" t="s">
        <v>24</v>
      </c>
      <c r="I9" s="16">
        <f ca="1">IF(LEN(INDIRECT(ADDRESS(ROW()-1, COLUMN())))=1,"",INDIRECT(ADDRESS(22,6))-INDIRECT(ADDRESS(22,7)))</f>
        <v>5</v>
      </c>
      <c r="J9" s="16">
        <f ca="1">IF(LEN(INDIRECT(ADDRESS(ROW()-1, COLUMN())))=1,"",INDIRECT(ADDRESS(26,7))-INDIRECT(ADDRESS(26,6)))</f>
        <v>3</v>
      </c>
      <c r="K9" s="17">
        <f ca="1">IF(LEN(INDIRECT(ADDRESS(ROW()-1, COLUMN())))=1,"",INDIRECT(ADDRESS(40,6))-INDIRECT(ADDRESS(40,7)))</f>
        <v>11</v>
      </c>
      <c r="L9" s="245"/>
      <c r="M9" s="16">
        <f ca="1">IF(COUNT(F9:K9)=0,"",SUM(F9:K9))</f>
        <v>23</v>
      </c>
      <c r="N9" s="221"/>
    </row>
    <row r="10" spans="2:14" customFormat="1" ht="24" customHeight="1" x14ac:dyDescent="0.25">
      <c r="B10" s="139">
        <v>4</v>
      </c>
      <c r="C10" s="152" t="s">
        <v>153</v>
      </c>
      <c r="D10" s="153"/>
      <c r="E10" s="154"/>
      <c r="F10" s="12" t="str">
        <f ca="1">INDIRECT(ADDRESS(36,7))&amp;":"&amp;INDIRECT(ADDRESS(36,6))</f>
        <v>12:11</v>
      </c>
      <c r="G10" s="7" t="str">
        <f ca="1">INDIRECT(ADDRESS(41,6))&amp;":"&amp;INDIRECT(ADDRESS(41,7))</f>
        <v>13:9</v>
      </c>
      <c r="H10" s="7" t="str">
        <f ca="1">INDIRECT(ADDRESS(22,7))&amp;":"&amp;INDIRECT(ADDRESS(22,6))</f>
        <v>8:13</v>
      </c>
      <c r="I10" s="8" t="s">
        <v>24</v>
      </c>
      <c r="J10" s="7" t="str">
        <f ca="1">INDIRECT(ADDRESS(32,6))&amp;":"&amp;INDIRECT(ADDRESS(32,7))</f>
        <v>13:11</v>
      </c>
      <c r="K10" s="11" t="str">
        <f ca="1">INDIRECT(ADDRESS(25,7))&amp;":"&amp;INDIRECT(ADDRESS(25,6))</f>
        <v>13:6</v>
      </c>
      <c r="L10" s="245">
        <f ca="1">IF(COUNT(F11:K11)=0,"",COUNTIF(F11:K11,"&gt;0")+0.5*COUNTIF(F11:K11,0))</f>
        <v>4</v>
      </c>
      <c r="M10" s="16">
        <v>-4</v>
      </c>
      <c r="N10" s="246">
        <v>3</v>
      </c>
    </row>
    <row r="11" spans="2:14" customFormat="1" ht="24" customHeight="1" x14ac:dyDescent="0.25">
      <c r="B11" s="132"/>
      <c r="C11" s="152"/>
      <c r="D11" s="153"/>
      <c r="E11" s="154"/>
      <c r="F11" s="22">
        <f ca="1">IF(LEN(INDIRECT(ADDRESS(ROW()-1, COLUMN())))=1,"",INDIRECT(ADDRESS(36,7))-INDIRECT(ADDRESS(36,6)))</f>
        <v>1</v>
      </c>
      <c r="G11" s="16">
        <f ca="1">IF(LEN(INDIRECT(ADDRESS(ROW()-1, COLUMN())))=1,"",INDIRECT(ADDRESS(41,6))-INDIRECT(ADDRESS(41,7)))</f>
        <v>4</v>
      </c>
      <c r="H11" s="16">
        <f ca="1">IF(LEN(INDIRECT(ADDRESS(ROW()-1, COLUMN())))=1,"",INDIRECT(ADDRESS(22,7))-INDIRECT(ADDRESS(22,6)))</f>
        <v>-5</v>
      </c>
      <c r="I11" s="14" t="s">
        <v>24</v>
      </c>
      <c r="J11" s="16">
        <f ca="1">IF(LEN(INDIRECT(ADDRESS(ROW()-1, COLUMN())))=1,"",INDIRECT(ADDRESS(32,6))-INDIRECT(ADDRESS(32,7)))</f>
        <v>2</v>
      </c>
      <c r="K11" s="17">
        <f ca="1">IF(LEN(INDIRECT(ADDRESS(ROW()-1, COLUMN())))=1,"",INDIRECT(ADDRESS(25,7))-INDIRECT(ADDRESS(25,6)))</f>
        <v>7</v>
      </c>
      <c r="L11" s="245"/>
      <c r="M11" s="16">
        <f ca="1">IF(COUNT(F11:K11)=0,"",SUM(F11:K11))</f>
        <v>9</v>
      </c>
      <c r="N11" s="221"/>
    </row>
    <row r="12" spans="2:14" customFormat="1" ht="24" customHeight="1" x14ac:dyDescent="0.25">
      <c r="B12" s="139">
        <v>5</v>
      </c>
      <c r="C12" s="140" t="s">
        <v>154</v>
      </c>
      <c r="D12" s="141"/>
      <c r="E12" s="142"/>
      <c r="F12" s="12" t="str">
        <f ca="1">INDIRECT(ADDRESS(42,6))&amp;":"&amp;INDIRECT(ADDRESS(42,7))</f>
        <v>5:13</v>
      </c>
      <c r="G12" s="7" t="str">
        <f ca="1">INDIRECT(ADDRESS(21,7))&amp;":"&amp;INDIRECT(ADDRESS(21,6))</f>
        <v>9:13</v>
      </c>
      <c r="H12" s="7" t="str">
        <f ca="1">INDIRECT(ADDRESS(26,6))&amp;":"&amp;INDIRECT(ADDRESS(26,7))</f>
        <v>10:13</v>
      </c>
      <c r="I12" s="7" t="str">
        <f ca="1">INDIRECT(ADDRESS(32,7))&amp;":"&amp;INDIRECT(ADDRESS(32,6))</f>
        <v>11:13</v>
      </c>
      <c r="J12" s="8" t="s">
        <v>24</v>
      </c>
      <c r="K12" s="11" t="str">
        <f ca="1">INDIRECT(ADDRESS(35,7))&amp;":"&amp;INDIRECT(ADDRESS(35,6))</f>
        <v>13:5</v>
      </c>
      <c r="L12" s="245">
        <f ca="1">IF(COUNT(F13:K13)=0,"",COUNTIF(F13:K13,"&gt;0")+0.5*COUNTIF(F13:K13,0))</f>
        <v>1</v>
      </c>
      <c r="M12" s="16"/>
      <c r="N12" s="246">
        <v>5</v>
      </c>
    </row>
    <row r="13" spans="2:14" customFormat="1" ht="24" customHeight="1" x14ac:dyDescent="0.25">
      <c r="B13" s="132"/>
      <c r="C13" s="140"/>
      <c r="D13" s="141"/>
      <c r="E13" s="142"/>
      <c r="F13" s="22">
        <f ca="1">IF(LEN(INDIRECT(ADDRESS(ROW()-1, COLUMN())))=1,"",INDIRECT(ADDRESS(42,6))-INDIRECT(ADDRESS(42,7)))</f>
        <v>-8</v>
      </c>
      <c r="G13" s="16">
        <f ca="1">IF(LEN(INDIRECT(ADDRESS(ROW()-1, COLUMN())))=1,"",INDIRECT(ADDRESS(21,7))-INDIRECT(ADDRESS(21,6)))</f>
        <v>-4</v>
      </c>
      <c r="H13" s="16">
        <f ca="1">IF(LEN(INDIRECT(ADDRESS(ROW()-1, COLUMN())))=1,"",INDIRECT(ADDRESS(26,6))-INDIRECT(ADDRESS(26,7)))</f>
        <v>-3</v>
      </c>
      <c r="I13" s="16">
        <f ca="1">IF(LEN(INDIRECT(ADDRESS(ROW()-1, COLUMN())))=1,"",INDIRECT(ADDRESS(32,7))-INDIRECT(ADDRESS(32,6)))</f>
        <v>-2</v>
      </c>
      <c r="J13" s="14" t="s">
        <v>24</v>
      </c>
      <c r="K13" s="17">
        <f ca="1">IF(LEN(INDIRECT(ADDRESS(ROW()-1, COLUMN())))=1,"",INDIRECT(ADDRESS(35,7))-INDIRECT(ADDRESS(35,6)))</f>
        <v>8</v>
      </c>
      <c r="L13" s="245"/>
      <c r="M13" s="16">
        <f ca="1">IF(COUNT(F13:K13)=0,"",SUM(F13:K13))</f>
        <v>-9</v>
      </c>
      <c r="N13" s="221"/>
    </row>
    <row r="14" spans="2:14" customFormat="1" ht="24" customHeight="1" x14ac:dyDescent="0.25">
      <c r="B14" s="139">
        <v>6</v>
      </c>
      <c r="C14" s="140" t="s">
        <v>155</v>
      </c>
      <c r="D14" s="141"/>
      <c r="E14" s="142"/>
      <c r="F14" s="12" t="str">
        <f ca="1">INDIRECT(ADDRESS(20,7))&amp;":"&amp;INDIRECT(ADDRESS(20,6))</f>
        <v>2:13</v>
      </c>
      <c r="G14" s="7" t="str">
        <f ca="1">INDIRECT(ADDRESS(30,7))&amp;":"&amp;INDIRECT(ADDRESS(30,6))</f>
        <v>10:13</v>
      </c>
      <c r="H14" s="7" t="str">
        <f ca="1">INDIRECT(ADDRESS(40,7))&amp;":"&amp;INDIRECT(ADDRESS(40,6))</f>
        <v>2:13</v>
      </c>
      <c r="I14" s="7" t="str">
        <f ca="1">INDIRECT(ADDRESS(25,6))&amp;":"&amp;INDIRECT(ADDRESS(25,7))</f>
        <v>6:13</v>
      </c>
      <c r="J14" s="7" t="str">
        <f ca="1">INDIRECT(ADDRESS(35,6))&amp;":"&amp;INDIRECT(ADDRESS(35,7))</f>
        <v>5:13</v>
      </c>
      <c r="K14" s="34" t="s">
        <v>24</v>
      </c>
      <c r="L14" s="245">
        <f ca="1">IF(COUNT(F15:K15)=0,"",COUNTIF(F15:K15,"&gt;0")+0.5*COUNTIF(F15:K15,0))</f>
        <v>0</v>
      </c>
      <c r="M14" s="16"/>
      <c r="N14" s="246">
        <v>6</v>
      </c>
    </row>
    <row r="15" spans="2:14" customFormat="1" ht="24" customHeight="1" thickBot="1" x14ac:dyDescent="0.3">
      <c r="B15" s="143"/>
      <c r="C15" s="144"/>
      <c r="D15" s="145"/>
      <c r="E15" s="146"/>
      <c r="F15" s="19">
        <f ca="1">IF(LEN(INDIRECT(ADDRESS(ROW()-1, COLUMN())))=1,"",INDIRECT(ADDRESS(20,7))-INDIRECT(ADDRESS(20,6)))</f>
        <v>-11</v>
      </c>
      <c r="G15" s="18">
        <f ca="1">IF(LEN(INDIRECT(ADDRESS(ROW()-1, COLUMN())))=1,"",INDIRECT(ADDRESS(30,7))-INDIRECT(ADDRESS(30,6)))</f>
        <v>-3</v>
      </c>
      <c r="H15" s="18">
        <f ca="1">IF(LEN(INDIRECT(ADDRESS(ROW()-1, COLUMN())))=1,"",INDIRECT(ADDRESS(40,7))-INDIRECT(ADDRESS(40,6)))</f>
        <v>-11</v>
      </c>
      <c r="I15" s="18">
        <f ca="1">IF(LEN(INDIRECT(ADDRESS(ROW()-1, COLUMN())))=1,"",INDIRECT(ADDRESS(25,6))-INDIRECT(ADDRESS(25,7)))</f>
        <v>-7</v>
      </c>
      <c r="J15" s="18">
        <f ca="1">IF(LEN(INDIRECT(ADDRESS(ROW()-1, COLUMN())))=1,"",INDIRECT(ADDRESS(35,6))-INDIRECT(ADDRESS(35,7)))</f>
        <v>-8</v>
      </c>
      <c r="K15" s="15" t="s">
        <v>24</v>
      </c>
      <c r="L15" s="248"/>
      <c r="M15" s="18">
        <f ca="1">IF(COUNT(F15:K15)=0,"",SUM(F15:K15))</f>
        <v>-40</v>
      </c>
      <c r="N15" s="247"/>
    </row>
    <row r="16" spans="2:14" customFormat="1" x14ac:dyDescent="0.25"/>
    <row r="17" spans="1:13" x14ac:dyDescent="0.25">
      <c r="M17"/>
    </row>
    <row r="18" spans="1:13" x14ac:dyDescent="0.25">
      <c r="M18"/>
    </row>
    <row r="19" spans="1:13" s="36" customFormat="1" ht="30" customHeight="1" thickBot="1" x14ac:dyDescent="0.4">
      <c r="A19" s="35"/>
      <c r="B19" s="147" t="s">
        <v>4</v>
      </c>
      <c r="C19" s="147"/>
      <c r="D19" s="147"/>
      <c r="E19" s="147"/>
      <c r="F19" s="147"/>
      <c r="G19" s="147"/>
      <c r="H19" s="147"/>
      <c r="I19" s="147"/>
      <c r="J19" s="147"/>
      <c r="K19" s="147"/>
    </row>
    <row r="20" spans="1:13" s="36" customFormat="1" ht="30" customHeight="1" thickBot="1" x14ac:dyDescent="0.4">
      <c r="A20" s="35"/>
      <c r="B20" s="85">
        <v>1</v>
      </c>
      <c r="C20" s="257" t="str">
        <f ca="1">IF(ISBLANK(INDIRECT(ADDRESS(B20*2+2,3))),"",INDIRECT(ADDRESS(B20*2+2,3)))</f>
        <v>Вахрушев Владимир</v>
      </c>
      <c r="D20" s="257"/>
      <c r="E20" s="258"/>
      <c r="F20" s="86">
        <v>13</v>
      </c>
      <c r="G20" s="87">
        <v>2</v>
      </c>
      <c r="H20" s="259" t="str">
        <f ca="1">IF(ISBLANK(INDIRECT(ADDRESS(K20*2+2,3))),"",INDIRECT(ADDRESS(K20*2+2,3)))</f>
        <v>Глуховский Аркадий</v>
      </c>
      <c r="I20" s="257"/>
      <c r="J20" s="257"/>
      <c r="K20" s="85">
        <v>6</v>
      </c>
      <c r="L20" s="40" t="s">
        <v>10</v>
      </c>
      <c r="M20" s="80">
        <v>1</v>
      </c>
    </row>
    <row r="21" spans="1:13" s="36" customFormat="1" ht="30" customHeight="1" thickBot="1" x14ac:dyDescent="0.4">
      <c r="A21" s="35"/>
      <c r="B21" s="85">
        <v>2</v>
      </c>
      <c r="C21" s="257" t="str">
        <f ca="1">IF(ISBLANK(INDIRECT(ADDRESS(B21*2+2,3))),"",INDIRECT(ADDRESS(B21*2+2,3)))</f>
        <v>Рядовиков Алексей</v>
      </c>
      <c r="D21" s="257"/>
      <c r="E21" s="258"/>
      <c r="F21" s="86">
        <v>13</v>
      </c>
      <c r="G21" s="87">
        <v>9</v>
      </c>
      <c r="H21" s="259" t="str">
        <f ca="1">IF(ISBLANK(INDIRECT(ADDRESS(K21*2+2,3))),"",INDIRECT(ADDRESS(K21*2+2,3)))</f>
        <v>Агапов Александр</v>
      </c>
      <c r="I21" s="257"/>
      <c r="J21" s="257"/>
      <c r="K21" s="85">
        <v>5</v>
      </c>
      <c r="L21" s="40" t="s">
        <v>10</v>
      </c>
      <c r="M21" s="80">
        <v>2</v>
      </c>
    </row>
    <row r="22" spans="1:13" s="36" customFormat="1" ht="30" customHeight="1" thickBot="1" x14ac:dyDescent="0.4">
      <c r="A22" s="35"/>
      <c r="B22" s="85">
        <v>3</v>
      </c>
      <c r="C22" s="257" t="str">
        <f ca="1">IF(ISBLANK(INDIRECT(ADDRESS(B22*2+2,3))),"",INDIRECT(ADDRESS(B22*2+2,3)))</f>
        <v>Лухиши Хафидо</v>
      </c>
      <c r="D22" s="257"/>
      <c r="E22" s="258"/>
      <c r="F22" s="86">
        <v>13</v>
      </c>
      <c r="G22" s="87">
        <v>8</v>
      </c>
      <c r="H22" s="259" t="str">
        <f ca="1">IF(ISBLANK(INDIRECT(ADDRESS(K22*2+2,3))),"",INDIRECT(ADDRESS(K22*2+2,3)))</f>
        <v>Педченко Александр</v>
      </c>
      <c r="I22" s="257"/>
      <c r="J22" s="257"/>
      <c r="K22" s="85">
        <v>4</v>
      </c>
      <c r="L22" s="40" t="s">
        <v>10</v>
      </c>
      <c r="M22" s="80">
        <v>3</v>
      </c>
    </row>
    <row r="23" spans="1:13" s="36" customFormat="1" ht="30" customHeight="1" x14ac:dyDescent="0.35">
      <c r="A23" s="35"/>
      <c r="B23" s="88"/>
      <c r="C23" s="88"/>
      <c r="D23" s="88"/>
      <c r="E23" s="88"/>
      <c r="F23" s="88"/>
      <c r="G23" s="88"/>
      <c r="H23" s="88"/>
      <c r="I23" s="88"/>
      <c r="J23" s="88"/>
      <c r="K23" s="88"/>
      <c r="M23" s="41"/>
    </row>
    <row r="24" spans="1:13" s="36" customFormat="1" ht="30" customHeight="1" thickBot="1" x14ac:dyDescent="0.4">
      <c r="A24" s="35"/>
      <c r="B24" s="147" t="s">
        <v>5</v>
      </c>
      <c r="C24" s="147"/>
      <c r="D24" s="147"/>
      <c r="E24" s="147"/>
      <c r="F24" s="147"/>
      <c r="G24" s="147"/>
      <c r="H24" s="147"/>
      <c r="I24" s="147"/>
      <c r="J24" s="147"/>
      <c r="K24" s="147"/>
      <c r="M24" s="41"/>
    </row>
    <row r="25" spans="1:13" s="36" customFormat="1" ht="30" customHeight="1" thickBot="1" x14ac:dyDescent="0.4">
      <c r="A25" s="35"/>
      <c r="B25" s="85">
        <v>6</v>
      </c>
      <c r="C25" s="257" t="str">
        <f ca="1">IF(ISBLANK(INDIRECT(ADDRESS(B25*2+2,3))),"",INDIRECT(ADDRESS(B25*2+2,3)))</f>
        <v>Глуховский Аркадий</v>
      </c>
      <c r="D25" s="257"/>
      <c r="E25" s="258"/>
      <c r="F25" s="86">
        <v>6</v>
      </c>
      <c r="G25" s="87">
        <v>13</v>
      </c>
      <c r="H25" s="259" t="str">
        <f ca="1">IF(ISBLANK(INDIRECT(ADDRESS(K25*2+2,3))),"",INDIRECT(ADDRESS(K25*2+2,3)))</f>
        <v>Педченко Александр</v>
      </c>
      <c r="I25" s="257"/>
      <c r="J25" s="257"/>
      <c r="K25" s="85">
        <v>4</v>
      </c>
      <c r="L25" s="40" t="s">
        <v>10</v>
      </c>
      <c r="M25" s="80">
        <v>4</v>
      </c>
    </row>
    <row r="26" spans="1:13" s="36" customFormat="1" ht="30" customHeight="1" thickBot="1" x14ac:dyDescent="0.4">
      <c r="A26" s="35"/>
      <c r="B26" s="85">
        <v>5</v>
      </c>
      <c r="C26" s="257" t="str">
        <f ca="1">IF(ISBLANK(INDIRECT(ADDRESS(B26*2+2,3))),"",INDIRECT(ADDRESS(B26*2+2,3)))</f>
        <v>Агапов Александр</v>
      </c>
      <c r="D26" s="257"/>
      <c r="E26" s="258"/>
      <c r="F26" s="86">
        <v>10</v>
      </c>
      <c r="G26" s="87">
        <v>13</v>
      </c>
      <c r="H26" s="259" t="str">
        <f ca="1">IF(ISBLANK(INDIRECT(ADDRESS(K26*2+2,3))),"",INDIRECT(ADDRESS(K26*2+2,3)))</f>
        <v>Лухиши Хафидо</v>
      </c>
      <c r="I26" s="257"/>
      <c r="J26" s="257"/>
      <c r="K26" s="85">
        <v>3</v>
      </c>
      <c r="L26" s="40" t="s">
        <v>10</v>
      </c>
      <c r="M26" s="80">
        <v>5</v>
      </c>
    </row>
    <row r="27" spans="1:13" s="36" customFormat="1" ht="30" customHeight="1" thickBot="1" x14ac:dyDescent="0.4">
      <c r="A27" s="35"/>
      <c r="B27" s="85">
        <v>1</v>
      </c>
      <c r="C27" s="257" t="str">
        <f ca="1">IF(ISBLANK(INDIRECT(ADDRESS(B27*2+2,3))),"",INDIRECT(ADDRESS(B27*2+2,3)))</f>
        <v>Вахрушев Владимир</v>
      </c>
      <c r="D27" s="257"/>
      <c r="E27" s="258"/>
      <c r="F27" s="86">
        <v>13</v>
      </c>
      <c r="G27" s="87">
        <v>8</v>
      </c>
      <c r="H27" s="259" t="str">
        <f ca="1">IF(ISBLANK(INDIRECT(ADDRESS(K27*2+2,3))),"",INDIRECT(ADDRESS(K27*2+2,3)))</f>
        <v>Рядовиков Алексей</v>
      </c>
      <c r="I27" s="257"/>
      <c r="J27" s="257"/>
      <c r="K27" s="85">
        <v>2</v>
      </c>
      <c r="L27" s="40" t="s">
        <v>10</v>
      </c>
      <c r="M27" s="80">
        <v>6</v>
      </c>
    </row>
    <row r="28" spans="1:13" s="36" customFormat="1" ht="30" customHeight="1" x14ac:dyDescent="0.35">
      <c r="A28" s="35"/>
      <c r="B28" s="88"/>
      <c r="C28" s="88"/>
      <c r="D28" s="88"/>
      <c r="E28" s="88"/>
      <c r="F28" s="88"/>
      <c r="G28" s="88"/>
      <c r="H28" s="88"/>
      <c r="I28" s="88"/>
      <c r="J28" s="88"/>
      <c r="K28" s="88"/>
      <c r="M28" s="41"/>
    </row>
    <row r="29" spans="1:13" s="36" customFormat="1" ht="30" customHeight="1" thickBot="1" x14ac:dyDescent="0.4">
      <c r="A29" s="35"/>
      <c r="B29" s="147" t="s">
        <v>6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s="36" customFormat="1" ht="30" customHeight="1" thickBot="1" x14ac:dyDescent="0.4">
      <c r="A30" s="35"/>
      <c r="B30" s="85">
        <v>2</v>
      </c>
      <c r="C30" s="257" t="str">
        <f ca="1">IF(ISBLANK(INDIRECT(ADDRESS(B30*2+2,3))),"",INDIRECT(ADDRESS(B30*2+2,3)))</f>
        <v>Рядовиков Алексей</v>
      </c>
      <c r="D30" s="257"/>
      <c r="E30" s="258"/>
      <c r="F30" s="86">
        <v>13</v>
      </c>
      <c r="G30" s="87">
        <v>10</v>
      </c>
      <c r="H30" s="259" t="str">
        <f ca="1">IF(ISBLANK(INDIRECT(ADDRESS(K30*2+2,3))),"",INDIRECT(ADDRESS(K30*2+2,3)))</f>
        <v>Глуховский Аркадий</v>
      </c>
      <c r="I30" s="257"/>
      <c r="J30" s="257"/>
      <c r="K30" s="85">
        <v>6</v>
      </c>
      <c r="L30" s="40" t="s">
        <v>10</v>
      </c>
      <c r="M30" s="80">
        <v>3</v>
      </c>
    </row>
    <row r="31" spans="1:13" s="36" customFormat="1" ht="30" customHeight="1" thickBot="1" x14ac:dyDescent="0.4">
      <c r="A31" s="35"/>
      <c r="B31" s="85">
        <v>3</v>
      </c>
      <c r="C31" s="257" t="str">
        <f ca="1">IF(ISBLANK(INDIRECT(ADDRESS(B31*2+2,3))),"",INDIRECT(ADDRESS(B31*2+2,3)))</f>
        <v>Лухиши Хафидо</v>
      </c>
      <c r="D31" s="257"/>
      <c r="E31" s="258"/>
      <c r="F31" s="86">
        <v>8</v>
      </c>
      <c r="G31" s="87">
        <v>13</v>
      </c>
      <c r="H31" s="259" t="str">
        <f ca="1">IF(ISBLANK(INDIRECT(ADDRESS(K31*2+2,3))),"",INDIRECT(ADDRESS(K31*2+2,3)))</f>
        <v>Вахрушев Владимир</v>
      </c>
      <c r="I31" s="257"/>
      <c r="J31" s="257"/>
      <c r="K31" s="85">
        <v>1</v>
      </c>
      <c r="L31" s="40" t="s">
        <v>10</v>
      </c>
      <c r="M31" s="80">
        <v>2</v>
      </c>
    </row>
    <row r="32" spans="1:13" s="36" customFormat="1" ht="30" customHeight="1" thickBot="1" x14ac:dyDescent="0.4">
      <c r="A32" s="35"/>
      <c r="B32" s="85">
        <v>4</v>
      </c>
      <c r="C32" s="257" t="str">
        <f ca="1">IF(ISBLANK(INDIRECT(ADDRESS(B32*2+2,3))),"",INDIRECT(ADDRESS(B32*2+2,3)))</f>
        <v>Педченко Александр</v>
      </c>
      <c r="D32" s="257"/>
      <c r="E32" s="258"/>
      <c r="F32" s="86">
        <v>13</v>
      </c>
      <c r="G32" s="87">
        <v>11</v>
      </c>
      <c r="H32" s="259" t="str">
        <f ca="1">IF(ISBLANK(INDIRECT(ADDRESS(K32*2+2,3))),"",INDIRECT(ADDRESS(K32*2+2,3)))</f>
        <v>Агапов Александр</v>
      </c>
      <c r="I32" s="257"/>
      <c r="J32" s="257"/>
      <c r="K32" s="85">
        <v>5</v>
      </c>
      <c r="L32" s="40" t="s">
        <v>10</v>
      </c>
      <c r="M32" s="80">
        <v>1</v>
      </c>
    </row>
    <row r="33" spans="1:13" s="36" customFormat="1" ht="30" customHeight="1" x14ac:dyDescent="0.35">
      <c r="A33" s="35"/>
      <c r="B33" s="88"/>
      <c r="C33" s="88"/>
      <c r="D33" s="88"/>
      <c r="E33" s="88"/>
      <c r="F33" s="88"/>
      <c r="G33" s="88"/>
      <c r="H33" s="88"/>
      <c r="I33" s="88"/>
      <c r="J33" s="88"/>
      <c r="K33" s="88"/>
      <c r="M33" s="41"/>
    </row>
    <row r="34" spans="1:13" s="36" customFormat="1" ht="30" customHeight="1" thickBot="1" x14ac:dyDescent="0.4">
      <c r="A34" s="35"/>
      <c r="B34" s="147" t="s">
        <v>7</v>
      </c>
      <c r="C34" s="147"/>
      <c r="D34" s="147"/>
      <c r="E34" s="147"/>
      <c r="F34" s="147"/>
      <c r="G34" s="147"/>
      <c r="H34" s="147"/>
      <c r="I34" s="147"/>
      <c r="J34" s="147"/>
      <c r="K34" s="147"/>
      <c r="M34" s="41"/>
    </row>
    <row r="35" spans="1:13" s="36" customFormat="1" ht="30" customHeight="1" thickBot="1" x14ac:dyDescent="0.4">
      <c r="A35" s="35"/>
      <c r="B35" s="85">
        <v>6</v>
      </c>
      <c r="C35" s="257" t="str">
        <f ca="1">IF(ISBLANK(INDIRECT(ADDRESS(B35*2+2,3))),"",INDIRECT(ADDRESS(B35*2+2,3)))</f>
        <v>Глуховский Аркадий</v>
      </c>
      <c r="D35" s="257"/>
      <c r="E35" s="258"/>
      <c r="F35" s="86">
        <v>5</v>
      </c>
      <c r="G35" s="87">
        <v>13</v>
      </c>
      <c r="H35" s="259" t="str">
        <f ca="1">IF(ISBLANK(INDIRECT(ADDRESS(K35*2+2,3))),"",INDIRECT(ADDRESS(K35*2+2,3)))</f>
        <v>Агапов Александр</v>
      </c>
      <c r="I35" s="257"/>
      <c r="J35" s="257"/>
      <c r="K35" s="85">
        <v>5</v>
      </c>
      <c r="L35" s="40" t="s">
        <v>10</v>
      </c>
      <c r="M35" s="80">
        <v>6</v>
      </c>
    </row>
    <row r="36" spans="1:13" s="36" customFormat="1" ht="30" customHeight="1" thickBot="1" x14ac:dyDescent="0.4">
      <c r="A36" s="35"/>
      <c r="B36" s="85">
        <v>1</v>
      </c>
      <c r="C36" s="257" t="str">
        <f ca="1">IF(ISBLANK(INDIRECT(ADDRESS(B36*2+2,3))),"",INDIRECT(ADDRESS(B36*2+2,3)))</f>
        <v>Вахрушев Владимир</v>
      </c>
      <c r="D36" s="257"/>
      <c r="E36" s="258"/>
      <c r="F36" s="86">
        <v>11</v>
      </c>
      <c r="G36" s="87">
        <v>12</v>
      </c>
      <c r="H36" s="259" t="str">
        <f ca="1">IF(ISBLANK(INDIRECT(ADDRESS(K36*2+2,3))),"",INDIRECT(ADDRESS(K36*2+2,3)))</f>
        <v>Педченко Александр</v>
      </c>
      <c r="I36" s="257"/>
      <c r="J36" s="257"/>
      <c r="K36" s="85">
        <v>4</v>
      </c>
      <c r="L36" s="40" t="s">
        <v>10</v>
      </c>
      <c r="M36" s="80">
        <v>5</v>
      </c>
    </row>
    <row r="37" spans="1:13" s="36" customFormat="1" ht="30" customHeight="1" thickBot="1" x14ac:dyDescent="0.4">
      <c r="A37" s="35"/>
      <c r="B37" s="85">
        <v>2</v>
      </c>
      <c r="C37" s="257" t="str">
        <f ca="1">IF(ISBLANK(INDIRECT(ADDRESS(B37*2+2,3))),"",INDIRECT(ADDRESS(B37*2+2,3)))</f>
        <v>Рядовиков Алексей</v>
      </c>
      <c r="D37" s="257"/>
      <c r="E37" s="258"/>
      <c r="F37" s="86">
        <v>4</v>
      </c>
      <c r="G37" s="87">
        <v>13</v>
      </c>
      <c r="H37" s="259" t="str">
        <f ca="1">IF(ISBLANK(INDIRECT(ADDRESS(K37*2+2,3))),"",INDIRECT(ADDRESS(K37*2+2,3)))</f>
        <v>Лухиши Хафидо</v>
      </c>
      <c r="I37" s="257"/>
      <c r="J37" s="257"/>
      <c r="K37" s="85">
        <v>3</v>
      </c>
      <c r="L37" s="40" t="s">
        <v>10</v>
      </c>
      <c r="M37" s="80">
        <v>4</v>
      </c>
    </row>
    <row r="38" spans="1:13" s="36" customFormat="1" ht="30" customHeight="1" x14ac:dyDescent="0.35">
      <c r="A38" s="35"/>
      <c r="B38" s="88"/>
      <c r="C38" s="88"/>
      <c r="D38" s="88"/>
      <c r="E38" s="88"/>
      <c r="F38" s="88"/>
      <c r="G38" s="88"/>
      <c r="H38" s="88"/>
      <c r="I38" s="88"/>
      <c r="J38" s="88"/>
      <c r="K38" s="88"/>
      <c r="M38" s="41"/>
    </row>
    <row r="39" spans="1:13" s="36" customFormat="1" ht="30" customHeight="1" thickBot="1" x14ac:dyDescent="0.4">
      <c r="A39" s="35"/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  <c r="M39" s="41"/>
    </row>
    <row r="40" spans="1:13" s="36" customFormat="1" ht="30" customHeight="1" thickBot="1" x14ac:dyDescent="0.4">
      <c r="A40" s="35"/>
      <c r="B40" s="85">
        <v>3</v>
      </c>
      <c r="C40" s="257" t="str">
        <f ca="1">IF(ISBLANK(INDIRECT(ADDRESS(B40*2+2,3))),"",INDIRECT(ADDRESS(B40*2+2,3)))</f>
        <v>Лухиши Хафидо</v>
      </c>
      <c r="D40" s="257"/>
      <c r="E40" s="258"/>
      <c r="F40" s="86">
        <v>13</v>
      </c>
      <c r="G40" s="87">
        <v>2</v>
      </c>
      <c r="H40" s="259" t="str">
        <f ca="1">IF(ISBLANK(INDIRECT(ADDRESS(K40*2+2,3))),"",INDIRECT(ADDRESS(K40*2+2,3)))</f>
        <v>Глуховский Аркадий</v>
      </c>
      <c r="I40" s="257"/>
      <c r="J40" s="257"/>
      <c r="K40" s="85">
        <v>6</v>
      </c>
      <c r="L40" s="40" t="s">
        <v>10</v>
      </c>
      <c r="M40" s="80">
        <v>1</v>
      </c>
    </row>
    <row r="41" spans="1:13" s="36" customFormat="1" ht="30" customHeight="1" thickBot="1" x14ac:dyDescent="0.4">
      <c r="A41" s="35"/>
      <c r="B41" s="85">
        <v>4</v>
      </c>
      <c r="C41" s="257" t="str">
        <f ca="1">IF(ISBLANK(INDIRECT(ADDRESS(B41*2+2,3))),"",INDIRECT(ADDRESS(B41*2+2,3)))</f>
        <v>Педченко Александр</v>
      </c>
      <c r="D41" s="257"/>
      <c r="E41" s="258"/>
      <c r="F41" s="86">
        <v>13</v>
      </c>
      <c r="G41" s="87">
        <v>9</v>
      </c>
      <c r="H41" s="259" t="str">
        <f ca="1">IF(ISBLANK(INDIRECT(ADDRESS(K41*2+2,3))),"",INDIRECT(ADDRESS(K41*2+2,3)))</f>
        <v>Рядовиков Алексей</v>
      </c>
      <c r="I41" s="257"/>
      <c r="J41" s="257"/>
      <c r="K41" s="85">
        <v>2</v>
      </c>
      <c r="L41" s="40" t="s">
        <v>10</v>
      </c>
      <c r="M41" s="80">
        <v>2</v>
      </c>
    </row>
    <row r="42" spans="1:13" s="36" customFormat="1" ht="30" customHeight="1" thickBot="1" x14ac:dyDescent="0.4">
      <c r="A42" s="35"/>
      <c r="B42" s="85">
        <v>5</v>
      </c>
      <c r="C42" s="257" t="str">
        <f ca="1">IF(ISBLANK(INDIRECT(ADDRESS(B42*2+2,3))),"",INDIRECT(ADDRESS(B42*2+2,3)))</f>
        <v>Агапов Александр</v>
      </c>
      <c r="D42" s="257"/>
      <c r="E42" s="258"/>
      <c r="F42" s="86">
        <v>5</v>
      </c>
      <c r="G42" s="87">
        <v>13</v>
      </c>
      <c r="H42" s="259" t="str">
        <f ca="1">IF(ISBLANK(INDIRECT(ADDRESS(K42*2+2,3))),"",INDIRECT(ADDRESS(K42*2+2,3)))</f>
        <v>Вахрушев Владимир</v>
      </c>
      <c r="I42" s="257"/>
      <c r="J42" s="257"/>
      <c r="K42" s="85">
        <v>1</v>
      </c>
      <c r="L42" s="40" t="s">
        <v>10</v>
      </c>
      <c r="M42" s="80">
        <v>3</v>
      </c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selection activeCell="C10" sqref="C10:E11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4" width="10.28515625" customWidth="1"/>
    <col min="15" max="15" width="12.85546875" customWidth="1"/>
  </cols>
  <sheetData>
    <row r="1" spans="2:15" customFormat="1" ht="38.25" customHeight="1" x14ac:dyDescent="0.25">
      <c r="B1" s="127" t="s">
        <v>77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18</v>
      </c>
      <c r="M1" t="s">
        <v>45</v>
      </c>
      <c r="N1" s="31">
        <v>46040</v>
      </c>
    </row>
    <row r="2" spans="2:15" customFormat="1" ht="15.75" thickBot="1" x14ac:dyDescent="0.3"/>
    <row r="3" spans="2:15" customFormat="1" ht="30" customHeight="1" thickBot="1" x14ac:dyDescent="0.3">
      <c r="B3" s="81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5" customFormat="1" ht="24" customHeight="1" x14ac:dyDescent="0.25">
      <c r="B4" s="131">
        <v>1</v>
      </c>
      <c r="C4" s="254" t="s">
        <v>157</v>
      </c>
      <c r="D4" s="255"/>
      <c r="E4" s="256"/>
      <c r="F4" s="10" t="s">
        <v>24</v>
      </c>
      <c r="G4" s="6" t="str">
        <f ca="1">INDIRECT(ADDRESS(27,6))&amp;":"&amp;INDIRECT(ADDRESS(27,7))</f>
        <v>13:2</v>
      </c>
      <c r="H4" s="6" t="str">
        <f ca="1">INDIRECT(ADDRESS(31,7))&amp;":"&amp;INDIRECT(ADDRESS(31,6))</f>
        <v>4:13</v>
      </c>
      <c r="I4" s="6" t="str">
        <f ca="1">INDIRECT(ADDRESS(36,6))&amp;":"&amp;INDIRECT(ADDRESS(36,7))</f>
        <v>12:13</v>
      </c>
      <c r="J4" s="6" t="str">
        <f ca="1">INDIRECT(ADDRESS(42,7))&amp;":"&amp;INDIRECT(ADDRESS(42,6))</f>
        <v>13:9</v>
      </c>
      <c r="K4" s="20" t="str">
        <f ca="1">INDIRECT(ADDRESS(20,6))&amp;":"&amp;INDIRECT(ADDRESS(20,7))</f>
        <v>:</v>
      </c>
      <c r="L4" s="244">
        <f ca="1">IF(COUNT(F5:K5)=0,"",COUNTIF(F5:K5,"&gt;0")+0.5*COUNTIF(F5:K5,0))</f>
        <v>2</v>
      </c>
      <c r="M4" s="23"/>
      <c r="N4" s="219">
        <v>4</v>
      </c>
    </row>
    <row r="5" spans="2:15" customFormat="1" ht="24" customHeight="1" x14ac:dyDescent="0.25">
      <c r="B5" s="132"/>
      <c r="C5" s="140"/>
      <c r="D5" s="141"/>
      <c r="E5" s="142"/>
      <c r="F5" s="13" t="s">
        <v>24</v>
      </c>
      <c r="G5" s="16">
        <f ca="1">IF(LEN(INDIRECT(ADDRESS(ROW()-1, COLUMN())))=1,"",INDIRECT(ADDRESS(27,6))-INDIRECT(ADDRESS(27,7)))</f>
        <v>11</v>
      </c>
      <c r="H5" s="16">
        <f ca="1">IF(LEN(INDIRECT(ADDRESS(ROW()-1, COLUMN())))=1,"",INDIRECT(ADDRESS(31,7))-INDIRECT(ADDRESS(31,6)))</f>
        <v>-9</v>
      </c>
      <c r="I5" s="16">
        <f ca="1">IF(LEN(INDIRECT(ADDRESS(ROW()-1, COLUMN())))=1,"",INDIRECT(ADDRESS(36,6))-INDIRECT(ADDRESS(36,7)))</f>
        <v>-1</v>
      </c>
      <c r="J5" s="16">
        <f ca="1">IF(LEN(INDIRECT(ADDRESS(ROW()-1, COLUMN())))=1,"",INDIRECT(ADDRESS(42,7))-INDIRECT(ADDRESS(42,6)))</f>
        <v>4</v>
      </c>
      <c r="K5" s="17" t="str">
        <f ca="1">IF(LEN(INDIRECT(ADDRESS(ROW()-1, COLUMN())))=1,"",INDIRECT(ADDRESS(20,6))-INDIRECT(ADDRESS(20,7)))</f>
        <v/>
      </c>
      <c r="L5" s="245"/>
      <c r="M5" s="16">
        <f ca="1">IF(COUNT(F5:K5)=0,"",SUM(F5:K5))</f>
        <v>5</v>
      </c>
      <c r="N5" s="221"/>
    </row>
    <row r="6" spans="2:15" customFormat="1" ht="24" customHeight="1" x14ac:dyDescent="0.25">
      <c r="B6" s="139">
        <v>2</v>
      </c>
      <c r="C6" s="140" t="s">
        <v>158</v>
      </c>
      <c r="D6" s="141"/>
      <c r="E6" s="142"/>
      <c r="F6" s="12" t="str">
        <f ca="1">INDIRECT(ADDRESS(27,7))&amp;":"&amp;INDIRECT(ADDRESS(27,6))</f>
        <v>2:13</v>
      </c>
      <c r="G6" s="8" t="s">
        <v>24</v>
      </c>
      <c r="H6" s="7" t="str">
        <f ca="1">INDIRECT(ADDRESS(37,6))&amp;":"&amp;INDIRECT(ADDRESS(37,7))</f>
        <v>11:10</v>
      </c>
      <c r="I6" s="7" t="str">
        <f ca="1">INDIRECT(ADDRESS(41,7))&amp;":"&amp;INDIRECT(ADDRESS(41,6))</f>
        <v>3:13</v>
      </c>
      <c r="J6" s="7" t="str">
        <f ca="1">INDIRECT(ADDRESS(21,6))&amp;":"&amp;INDIRECT(ADDRESS(21,7))</f>
        <v>9:13</v>
      </c>
      <c r="K6" s="11" t="str">
        <f ca="1">INDIRECT(ADDRESS(30,6))&amp;":"&amp;INDIRECT(ADDRESS(30,7))</f>
        <v>:</v>
      </c>
      <c r="L6" s="245">
        <f ca="1">IF(COUNT(F7:K7)=0,"",COUNTIF(F7:K7,"&gt;0")+0.5*COUNTIF(F7:K7,0))</f>
        <v>1</v>
      </c>
      <c r="M6" s="16"/>
      <c r="N6" s="246">
        <v>5</v>
      </c>
    </row>
    <row r="7" spans="2:15" customFormat="1" ht="24" customHeight="1" x14ac:dyDescent="0.25">
      <c r="B7" s="132"/>
      <c r="C7" s="140"/>
      <c r="D7" s="141"/>
      <c r="E7" s="142"/>
      <c r="F7" s="22">
        <f ca="1">IF(LEN(INDIRECT(ADDRESS(ROW()-1, COLUMN())))=1,"",INDIRECT(ADDRESS(27,7))-INDIRECT(ADDRESS(27,6)))</f>
        <v>-11</v>
      </c>
      <c r="G7" s="14" t="s">
        <v>24</v>
      </c>
      <c r="H7" s="16">
        <f ca="1">IF(LEN(INDIRECT(ADDRESS(ROW()-1, COLUMN())))=1,"",INDIRECT(ADDRESS(37,6))-INDIRECT(ADDRESS(37,7)))</f>
        <v>1</v>
      </c>
      <c r="I7" s="16">
        <f ca="1">IF(LEN(INDIRECT(ADDRESS(ROW()-1, COLUMN())))=1,"",INDIRECT(ADDRESS(41,7))-INDIRECT(ADDRESS(41,6)))</f>
        <v>-10</v>
      </c>
      <c r="J7" s="16">
        <f ca="1">IF(LEN(INDIRECT(ADDRESS(ROW()-1, COLUMN())))=1,"",INDIRECT(ADDRESS(21,6))-INDIRECT(ADDRESS(21,7)))</f>
        <v>-4</v>
      </c>
      <c r="K7" s="17" t="str">
        <f ca="1">IF(LEN(INDIRECT(ADDRESS(ROW()-1, COLUMN())))=1,"",INDIRECT(ADDRESS(30,6))-INDIRECT(ADDRESS(30,7)))</f>
        <v/>
      </c>
      <c r="L7" s="245"/>
      <c r="M7" s="16">
        <f ca="1">IF(COUNT(F7:K7)=0,"",SUM(F7:K7))</f>
        <v>-24</v>
      </c>
      <c r="N7" s="221"/>
    </row>
    <row r="8" spans="2:15" customFormat="1" ht="24" customHeight="1" x14ac:dyDescent="0.25">
      <c r="B8" s="139">
        <v>3</v>
      </c>
      <c r="C8" s="136" t="s">
        <v>159</v>
      </c>
      <c r="D8" s="137"/>
      <c r="E8" s="138"/>
      <c r="F8" s="12" t="str">
        <f ca="1">INDIRECT(ADDRESS(31,6))&amp;":"&amp;INDIRECT(ADDRESS(31,7))</f>
        <v>13:4</v>
      </c>
      <c r="G8" s="7" t="str">
        <f ca="1">INDIRECT(ADDRESS(37,7))&amp;":"&amp;INDIRECT(ADDRESS(37,6))</f>
        <v>10:11</v>
      </c>
      <c r="H8" s="8" t="s">
        <v>24</v>
      </c>
      <c r="I8" s="7" t="str">
        <f ca="1">INDIRECT(ADDRESS(22,6))&amp;":"&amp;INDIRECT(ADDRESS(22,7))</f>
        <v>13:4</v>
      </c>
      <c r="J8" s="7" t="str">
        <f ca="1">INDIRECT(ADDRESS(26,7))&amp;":"&amp;INDIRECT(ADDRESS(26,6))</f>
        <v>9:13</v>
      </c>
      <c r="K8" s="11" t="str">
        <f ca="1">INDIRECT(ADDRESS(40,6))&amp;":"&amp;INDIRECT(ADDRESS(40,7))</f>
        <v>:</v>
      </c>
      <c r="L8" s="245">
        <f ca="1">IF(COUNT(F9:K9)=0,"",COUNTIF(F9:K9,"&gt;0")+0.5*COUNTIF(F9:K9,0))</f>
        <v>2</v>
      </c>
      <c r="M8" s="16"/>
      <c r="N8" s="246">
        <v>2</v>
      </c>
    </row>
    <row r="9" spans="2:15" customFormat="1" ht="24" customHeight="1" x14ac:dyDescent="0.25">
      <c r="B9" s="132"/>
      <c r="C9" s="136"/>
      <c r="D9" s="137"/>
      <c r="E9" s="138"/>
      <c r="F9" s="22">
        <f ca="1">IF(LEN(INDIRECT(ADDRESS(ROW()-1, COLUMN())))=1,"",INDIRECT(ADDRESS(31,6))-INDIRECT(ADDRESS(31,7)))</f>
        <v>9</v>
      </c>
      <c r="G9" s="16">
        <f ca="1">IF(LEN(INDIRECT(ADDRESS(ROW()-1, COLUMN())))=1,"",INDIRECT(ADDRESS(37,7))-INDIRECT(ADDRESS(37,6)))</f>
        <v>-1</v>
      </c>
      <c r="H9" s="14" t="s">
        <v>24</v>
      </c>
      <c r="I9" s="16">
        <f ca="1">IF(LEN(INDIRECT(ADDRESS(ROW()-1, COLUMN())))=1,"",INDIRECT(ADDRESS(22,6))-INDIRECT(ADDRESS(22,7)))</f>
        <v>9</v>
      </c>
      <c r="J9" s="16">
        <f ca="1">IF(LEN(INDIRECT(ADDRESS(ROW()-1, COLUMN())))=1,"",INDIRECT(ADDRESS(26,7))-INDIRECT(ADDRESS(26,6)))</f>
        <v>-4</v>
      </c>
      <c r="K9" s="17" t="str">
        <f ca="1">IF(LEN(INDIRECT(ADDRESS(ROW()-1, COLUMN())))=1,"",INDIRECT(ADDRESS(40,6))-INDIRECT(ADDRESS(40,7)))</f>
        <v/>
      </c>
      <c r="L9" s="245"/>
      <c r="M9" s="16">
        <f ca="1">IF(COUNT(F9:K9)=0,"",SUM(F9:K9))</f>
        <v>13</v>
      </c>
      <c r="N9" s="221"/>
    </row>
    <row r="10" spans="2:15" customFormat="1" ht="24" customHeight="1" x14ac:dyDescent="0.25">
      <c r="B10" s="139">
        <v>4</v>
      </c>
      <c r="C10" s="152" t="s">
        <v>160</v>
      </c>
      <c r="D10" s="153"/>
      <c r="E10" s="154"/>
      <c r="F10" s="12" t="str">
        <f ca="1">INDIRECT(ADDRESS(36,7))&amp;":"&amp;INDIRECT(ADDRESS(36,6))</f>
        <v>13:12</v>
      </c>
      <c r="G10" s="7" t="str">
        <f ca="1">INDIRECT(ADDRESS(41,6))&amp;":"&amp;INDIRECT(ADDRESS(41,7))</f>
        <v>13:3</v>
      </c>
      <c r="H10" s="7" t="str">
        <f ca="1">INDIRECT(ADDRESS(22,7))&amp;":"&amp;INDIRECT(ADDRESS(22,6))</f>
        <v>4:13</v>
      </c>
      <c r="I10" s="8" t="s">
        <v>24</v>
      </c>
      <c r="J10" s="7" t="str">
        <f ca="1">INDIRECT(ADDRESS(32,6))&amp;":"&amp;INDIRECT(ADDRESS(32,7))</f>
        <v>10:13</v>
      </c>
      <c r="K10" s="11" t="str">
        <f ca="1">INDIRECT(ADDRESS(25,7))&amp;":"&amp;INDIRECT(ADDRESS(25,6))</f>
        <v>:</v>
      </c>
      <c r="L10" s="245">
        <f ca="1">IF(COUNT(F11:K11)=0,"",COUNTIF(F11:K11,"&gt;0")+0.5*COUNTIF(F11:K11,0))</f>
        <v>2</v>
      </c>
      <c r="M10" s="16"/>
      <c r="N10" s="246">
        <v>3</v>
      </c>
    </row>
    <row r="11" spans="2:15" customFormat="1" ht="24" customHeight="1" x14ac:dyDescent="0.25">
      <c r="B11" s="132"/>
      <c r="C11" s="152"/>
      <c r="D11" s="153"/>
      <c r="E11" s="154"/>
      <c r="F11" s="22">
        <f ca="1">IF(LEN(INDIRECT(ADDRESS(ROW()-1, COLUMN())))=1,"",INDIRECT(ADDRESS(36,7))-INDIRECT(ADDRESS(36,6)))</f>
        <v>1</v>
      </c>
      <c r="G11" s="16">
        <f ca="1">IF(LEN(INDIRECT(ADDRESS(ROW()-1, COLUMN())))=1,"",INDIRECT(ADDRESS(41,6))-INDIRECT(ADDRESS(41,7)))</f>
        <v>10</v>
      </c>
      <c r="H11" s="16">
        <f ca="1">IF(LEN(INDIRECT(ADDRESS(ROW()-1, COLUMN())))=1,"",INDIRECT(ADDRESS(22,7))-INDIRECT(ADDRESS(22,6)))</f>
        <v>-9</v>
      </c>
      <c r="I11" s="14" t="s">
        <v>24</v>
      </c>
      <c r="J11" s="16">
        <f ca="1">IF(LEN(INDIRECT(ADDRESS(ROW()-1, COLUMN())))=1,"",INDIRECT(ADDRESS(32,6))-INDIRECT(ADDRESS(32,7)))</f>
        <v>-3</v>
      </c>
      <c r="K11" s="17" t="str">
        <f ca="1">IF(LEN(INDIRECT(ADDRESS(ROW()-1, COLUMN())))=1,"",INDIRECT(ADDRESS(25,7))-INDIRECT(ADDRESS(25,6)))</f>
        <v/>
      </c>
      <c r="L11" s="245"/>
      <c r="M11" s="16">
        <f ca="1">IF(COUNT(F11:K11)=0,"",SUM(F11:K11))</f>
        <v>-1</v>
      </c>
      <c r="N11" s="221"/>
    </row>
    <row r="12" spans="2:15" customFormat="1" ht="24" customHeight="1" x14ac:dyDescent="0.25">
      <c r="B12" s="139">
        <v>5</v>
      </c>
      <c r="C12" s="136" t="s">
        <v>161</v>
      </c>
      <c r="D12" s="137"/>
      <c r="E12" s="138"/>
      <c r="F12" s="12" t="str">
        <f ca="1">INDIRECT(ADDRESS(42,6))&amp;":"&amp;INDIRECT(ADDRESS(42,7))</f>
        <v>9:13</v>
      </c>
      <c r="G12" s="7" t="str">
        <f ca="1">INDIRECT(ADDRESS(21,7))&amp;":"&amp;INDIRECT(ADDRESS(21,6))</f>
        <v>13:9</v>
      </c>
      <c r="H12" s="7" t="str">
        <f ca="1">INDIRECT(ADDRESS(26,6))&amp;":"&amp;INDIRECT(ADDRESS(26,7))</f>
        <v>13:9</v>
      </c>
      <c r="I12" s="7" t="str">
        <f ca="1">INDIRECT(ADDRESS(32,7))&amp;":"&amp;INDIRECT(ADDRESS(32,6))</f>
        <v>13:10</v>
      </c>
      <c r="J12" s="8" t="s">
        <v>24</v>
      </c>
      <c r="K12" s="11" t="str">
        <f ca="1">INDIRECT(ADDRESS(35,7))&amp;":"&amp;INDIRECT(ADDRESS(35,6))</f>
        <v>:</v>
      </c>
      <c r="L12" s="245">
        <f ca="1">IF(COUNT(F13:K13)=0,"",COUNTIF(F13:K13,"&gt;0")+0.5*COUNTIF(F13:K13,0))</f>
        <v>3</v>
      </c>
      <c r="M12" s="16"/>
      <c r="N12" s="246">
        <v>1</v>
      </c>
    </row>
    <row r="13" spans="2:15" customFormat="1" ht="24" customHeight="1" x14ac:dyDescent="0.25">
      <c r="B13" s="132"/>
      <c r="C13" s="136"/>
      <c r="D13" s="137"/>
      <c r="E13" s="138"/>
      <c r="F13" s="22">
        <f ca="1">IF(LEN(INDIRECT(ADDRESS(ROW()-1, COLUMN())))=1,"",INDIRECT(ADDRESS(42,6))-INDIRECT(ADDRESS(42,7)))</f>
        <v>-4</v>
      </c>
      <c r="G13" s="16">
        <f ca="1">IF(LEN(INDIRECT(ADDRESS(ROW()-1, COLUMN())))=1,"",INDIRECT(ADDRESS(21,7))-INDIRECT(ADDRESS(21,6)))</f>
        <v>4</v>
      </c>
      <c r="H13" s="16">
        <f ca="1">IF(LEN(INDIRECT(ADDRESS(ROW()-1, COLUMN())))=1,"",INDIRECT(ADDRESS(26,6))-INDIRECT(ADDRESS(26,7)))</f>
        <v>4</v>
      </c>
      <c r="I13" s="16">
        <f ca="1">IF(LEN(INDIRECT(ADDRESS(ROW()-1, COLUMN())))=1,"",INDIRECT(ADDRESS(32,7))-INDIRECT(ADDRESS(32,6)))</f>
        <v>3</v>
      </c>
      <c r="J13" s="14" t="s">
        <v>24</v>
      </c>
      <c r="K13" s="17" t="str">
        <f ca="1">IF(LEN(INDIRECT(ADDRESS(ROW()-1, COLUMN())))=1,"",INDIRECT(ADDRESS(35,7))-INDIRECT(ADDRESS(35,6)))</f>
        <v/>
      </c>
      <c r="L13" s="245"/>
      <c r="M13" s="16">
        <f ca="1">IF(COUNT(F13:K13)=0,"",SUM(F13:K13))</f>
        <v>7</v>
      </c>
      <c r="N13" s="221"/>
    </row>
    <row r="14" spans="2:15" customFormat="1" ht="24" customHeight="1" x14ac:dyDescent="0.25">
      <c r="B14" s="139">
        <v>6</v>
      </c>
      <c r="C14" s="140" t="s">
        <v>162</v>
      </c>
      <c r="D14" s="141"/>
      <c r="E14" s="142"/>
      <c r="F14" s="12" t="str">
        <f ca="1">INDIRECT(ADDRESS(20,7))&amp;":"&amp;INDIRECT(ADDRESS(20,6))</f>
        <v>:</v>
      </c>
      <c r="G14" s="7" t="str">
        <f ca="1">INDIRECT(ADDRESS(30,7))&amp;":"&amp;INDIRECT(ADDRESS(30,6))</f>
        <v>:</v>
      </c>
      <c r="H14" s="7" t="str">
        <f ca="1">INDIRECT(ADDRESS(40,7))&amp;":"&amp;INDIRECT(ADDRESS(40,6))</f>
        <v>:</v>
      </c>
      <c r="I14" s="7" t="str">
        <f ca="1">INDIRECT(ADDRESS(25,6))&amp;":"&amp;INDIRECT(ADDRESS(25,7))</f>
        <v>:</v>
      </c>
      <c r="J14" s="7" t="str">
        <f ca="1">INDIRECT(ADDRESS(35,6))&amp;":"&amp;INDIRECT(ADDRESS(35,7))</f>
        <v>:</v>
      </c>
      <c r="K14" s="34" t="s">
        <v>24</v>
      </c>
      <c r="L14" s="245" t="str">
        <f ca="1">IF(COUNT(F15:K15)=0,"",COUNTIF(F15:K15,"&gt;0")+0.5*COUNTIF(F15:K15,0))</f>
        <v/>
      </c>
      <c r="M14" s="16"/>
      <c r="N14" s="246"/>
      <c r="O14" s="9" t="s">
        <v>164</v>
      </c>
    </row>
    <row r="15" spans="2:15" customFormat="1" ht="24" customHeight="1" thickBot="1" x14ac:dyDescent="0.3">
      <c r="B15" s="143"/>
      <c r="C15" s="144"/>
      <c r="D15" s="145"/>
      <c r="E15" s="146"/>
      <c r="F15" s="19" t="str">
        <f ca="1">IF(LEN(INDIRECT(ADDRESS(ROW()-1, COLUMN())))=1,"",INDIRECT(ADDRESS(20,7))-INDIRECT(ADDRESS(20,6)))</f>
        <v/>
      </c>
      <c r="G15" s="18" t="str">
        <f ca="1">IF(LEN(INDIRECT(ADDRESS(ROW()-1, COLUMN())))=1,"",INDIRECT(ADDRESS(30,7))-INDIRECT(ADDRESS(30,6)))</f>
        <v/>
      </c>
      <c r="H15" s="18" t="str">
        <f ca="1">IF(LEN(INDIRECT(ADDRESS(ROW()-1, COLUMN())))=1,"",INDIRECT(ADDRESS(40,7))-INDIRECT(ADDRESS(40,6)))</f>
        <v/>
      </c>
      <c r="I15" s="18" t="str">
        <f ca="1">IF(LEN(INDIRECT(ADDRESS(ROW()-1, COLUMN())))=1,"",INDIRECT(ADDRESS(25,6))-INDIRECT(ADDRESS(25,7)))</f>
        <v/>
      </c>
      <c r="J15" s="18" t="str">
        <f ca="1">IF(LEN(INDIRECT(ADDRESS(ROW()-1, COLUMN())))=1,"",INDIRECT(ADDRESS(35,6))-INDIRECT(ADDRESS(35,7)))</f>
        <v/>
      </c>
      <c r="K15" s="15" t="s">
        <v>24</v>
      </c>
      <c r="L15" s="248"/>
      <c r="M15" s="18" t="str">
        <f ca="1">IF(COUNT(F15:K15)=0,"",SUM(F15:K15))</f>
        <v/>
      </c>
      <c r="N15" s="247"/>
      <c r="O15" s="9" t="s">
        <v>165</v>
      </c>
    </row>
    <row r="16" spans="2:15" customFormat="1" x14ac:dyDescent="0.25"/>
    <row r="17" spans="1:14" x14ac:dyDescent="0.25">
      <c r="M17"/>
    </row>
    <row r="18" spans="1:14" x14ac:dyDescent="0.25">
      <c r="M18"/>
    </row>
    <row r="19" spans="1:14" s="36" customFormat="1" ht="30" customHeight="1" thickBot="1" x14ac:dyDescent="0.4">
      <c r="A19" s="35"/>
      <c r="B19" s="147" t="s">
        <v>4</v>
      </c>
      <c r="C19" s="147"/>
      <c r="D19" s="147"/>
      <c r="E19" s="147"/>
      <c r="F19" s="147"/>
      <c r="G19" s="147"/>
      <c r="H19" s="147"/>
      <c r="I19" s="147"/>
      <c r="J19" s="147"/>
      <c r="K19" s="147"/>
    </row>
    <row r="20" spans="1:14" s="36" customFormat="1" ht="30" customHeight="1" thickBot="1" x14ac:dyDescent="0.4">
      <c r="A20" s="35"/>
      <c r="B20" s="37">
        <v>1</v>
      </c>
      <c r="C20" s="124" t="str">
        <f ca="1">IF(ISBLANK(INDIRECT(ADDRESS(B20*2+2,3))),"",INDIRECT(ADDRESS(B20*2+2,3)))</f>
        <v>Шапкин Константин</v>
      </c>
      <c r="D20" s="124"/>
      <c r="E20" s="125"/>
      <c r="F20" s="38"/>
      <c r="G20" s="39"/>
      <c r="H20" s="126" t="str">
        <f ca="1">IF(ISBLANK(INDIRECT(ADDRESS(K20*2+2,3))),"",INDIRECT(ADDRESS(K20*2+2,3)))</f>
        <v>Лютиков Александр</v>
      </c>
      <c r="I20" s="124"/>
      <c r="J20" s="124"/>
      <c r="K20" s="37">
        <v>6</v>
      </c>
      <c r="L20" s="40" t="s">
        <v>10</v>
      </c>
      <c r="M20" s="80">
        <v>1</v>
      </c>
      <c r="N20" s="36" t="s">
        <v>166</v>
      </c>
    </row>
    <row r="21" spans="1:14" s="36" customFormat="1" ht="30" customHeight="1" thickBot="1" x14ac:dyDescent="0.4">
      <c r="A21" s="35"/>
      <c r="B21" s="37">
        <v>2</v>
      </c>
      <c r="C21" s="124" t="str">
        <f ca="1">IF(ISBLANK(INDIRECT(ADDRESS(B21*2+2,3))),"",INDIRECT(ADDRESS(B21*2+2,3)))</f>
        <v>Красноперов Игорь</v>
      </c>
      <c r="D21" s="124"/>
      <c r="E21" s="125"/>
      <c r="F21" s="38">
        <v>9</v>
      </c>
      <c r="G21" s="39">
        <v>13</v>
      </c>
      <c r="H21" s="126" t="str">
        <f ca="1">IF(ISBLANK(INDIRECT(ADDRESS(K21*2+2,3))),"",INDIRECT(ADDRESS(K21*2+2,3)))</f>
        <v>Каргашин Илья</v>
      </c>
      <c r="I21" s="124"/>
      <c r="J21" s="124"/>
      <c r="K21" s="37">
        <v>5</v>
      </c>
      <c r="L21" s="40" t="s">
        <v>10</v>
      </c>
      <c r="M21" s="80">
        <v>2</v>
      </c>
    </row>
    <row r="22" spans="1:14" s="36" customFormat="1" ht="30" customHeight="1" thickBot="1" x14ac:dyDescent="0.4">
      <c r="A22" s="35"/>
      <c r="B22" s="37">
        <v>3</v>
      </c>
      <c r="C22" s="124" t="str">
        <f ca="1">IF(ISBLANK(INDIRECT(ADDRESS(B22*2+2,3))),"",INDIRECT(ADDRESS(B22*2+2,3)))</f>
        <v>Ли Александр</v>
      </c>
      <c r="D22" s="124"/>
      <c r="E22" s="125"/>
      <c r="F22" s="38">
        <v>13</v>
      </c>
      <c r="G22" s="39">
        <v>4</v>
      </c>
      <c r="H22" s="126" t="str">
        <f ca="1">IF(ISBLANK(INDIRECT(ADDRESS(K22*2+2,3))),"",INDIRECT(ADDRESS(K22*2+2,3)))</f>
        <v>Горячев Никита</v>
      </c>
      <c r="I22" s="124"/>
      <c r="J22" s="124"/>
      <c r="K22" s="37">
        <v>4</v>
      </c>
      <c r="L22" s="40" t="s">
        <v>10</v>
      </c>
      <c r="M22" s="80">
        <v>3</v>
      </c>
    </row>
    <row r="23" spans="1:14" s="36" customFormat="1" ht="30" customHeight="1" x14ac:dyDescent="0.35">
      <c r="A23" s="35"/>
      <c r="M23" s="41"/>
    </row>
    <row r="24" spans="1:14" s="36" customFormat="1" ht="30" customHeight="1" thickBot="1" x14ac:dyDescent="0.4">
      <c r="A24" s="35"/>
      <c r="B24" s="147" t="s">
        <v>5</v>
      </c>
      <c r="C24" s="147"/>
      <c r="D24" s="147"/>
      <c r="E24" s="147"/>
      <c r="F24" s="147"/>
      <c r="G24" s="147"/>
      <c r="H24" s="147"/>
      <c r="I24" s="147"/>
      <c r="J24" s="147"/>
      <c r="K24" s="147"/>
      <c r="M24" s="41"/>
    </row>
    <row r="25" spans="1:14" s="36" customFormat="1" ht="30" customHeight="1" thickBot="1" x14ac:dyDescent="0.4">
      <c r="A25" s="35"/>
      <c r="B25" s="37">
        <v>6</v>
      </c>
      <c r="C25" s="124" t="str">
        <f ca="1">IF(ISBLANK(INDIRECT(ADDRESS(B25*2+2,3))),"",INDIRECT(ADDRESS(B25*2+2,3)))</f>
        <v>Лютиков Александр</v>
      </c>
      <c r="D25" s="124"/>
      <c r="E25" s="125"/>
      <c r="F25" s="38"/>
      <c r="G25" s="39"/>
      <c r="H25" s="126" t="str">
        <f ca="1">IF(ISBLANK(INDIRECT(ADDRESS(K25*2+2,3))),"",INDIRECT(ADDRESS(K25*2+2,3)))</f>
        <v>Горячев Никита</v>
      </c>
      <c r="I25" s="124"/>
      <c r="J25" s="124"/>
      <c r="K25" s="37">
        <v>4</v>
      </c>
      <c r="L25" s="40" t="s">
        <v>10</v>
      </c>
      <c r="M25" s="80">
        <v>4</v>
      </c>
      <c r="N25" s="36" t="s">
        <v>166</v>
      </c>
    </row>
    <row r="26" spans="1:14" s="36" customFormat="1" ht="30" customHeight="1" thickBot="1" x14ac:dyDescent="0.4">
      <c r="A26" s="35"/>
      <c r="B26" s="37">
        <v>5</v>
      </c>
      <c r="C26" s="124" t="str">
        <f ca="1">IF(ISBLANK(INDIRECT(ADDRESS(B26*2+2,3))),"",INDIRECT(ADDRESS(B26*2+2,3)))</f>
        <v>Каргашин Илья</v>
      </c>
      <c r="D26" s="124"/>
      <c r="E26" s="125"/>
      <c r="F26" s="38">
        <v>13</v>
      </c>
      <c r="G26" s="39">
        <v>9</v>
      </c>
      <c r="H26" s="126" t="str">
        <f ca="1">IF(ISBLANK(INDIRECT(ADDRESS(K26*2+2,3))),"",INDIRECT(ADDRESS(K26*2+2,3)))</f>
        <v>Ли Александр</v>
      </c>
      <c r="I26" s="124"/>
      <c r="J26" s="124"/>
      <c r="K26" s="37">
        <v>3</v>
      </c>
      <c r="L26" s="40" t="s">
        <v>10</v>
      </c>
      <c r="M26" s="80">
        <v>5</v>
      </c>
    </row>
    <row r="27" spans="1:14" s="36" customFormat="1" ht="30" customHeight="1" thickBot="1" x14ac:dyDescent="0.4">
      <c r="A27" s="35"/>
      <c r="B27" s="37">
        <v>1</v>
      </c>
      <c r="C27" s="124" t="str">
        <f ca="1">IF(ISBLANK(INDIRECT(ADDRESS(B27*2+2,3))),"",INDIRECT(ADDRESS(B27*2+2,3)))</f>
        <v>Шапкин Константин</v>
      </c>
      <c r="D27" s="124"/>
      <c r="E27" s="125"/>
      <c r="F27" s="38">
        <v>13</v>
      </c>
      <c r="G27" s="39">
        <v>2</v>
      </c>
      <c r="H27" s="126" t="str">
        <f ca="1">IF(ISBLANK(INDIRECT(ADDRESS(K27*2+2,3))),"",INDIRECT(ADDRESS(K27*2+2,3)))</f>
        <v>Красноперов Игорь</v>
      </c>
      <c r="I27" s="124"/>
      <c r="J27" s="124"/>
      <c r="K27" s="37">
        <v>2</v>
      </c>
      <c r="L27" s="40" t="s">
        <v>10</v>
      </c>
      <c r="M27" s="80">
        <v>6</v>
      </c>
    </row>
    <row r="28" spans="1:14" s="36" customFormat="1" ht="30" customHeight="1" x14ac:dyDescent="0.35">
      <c r="A28" s="35"/>
      <c r="M28" s="41"/>
    </row>
    <row r="29" spans="1:14" s="36" customFormat="1" ht="30" customHeight="1" thickBot="1" x14ac:dyDescent="0.4">
      <c r="A29" s="35"/>
      <c r="B29" s="147" t="s">
        <v>6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4" s="36" customFormat="1" ht="30" customHeight="1" thickBot="1" x14ac:dyDescent="0.4">
      <c r="A30" s="35"/>
      <c r="B30" s="37">
        <v>2</v>
      </c>
      <c r="C30" s="124" t="str">
        <f ca="1">IF(ISBLANK(INDIRECT(ADDRESS(B30*2+2,3))),"",INDIRECT(ADDRESS(B30*2+2,3)))</f>
        <v>Красноперов Игорь</v>
      </c>
      <c r="D30" s="124"/>
      <c r="E30" s="125"/>
      <c r="F30" s="38"/>
      <c r="G30" s="39"/>
      <c r="H30" s="126" t="str">
        <f ca="1">IF(ISBLANK(INDIRECT(ADDRESS(K30*2+2,3))),"",INDIRECT(ADDRESS(K30*2+2,3)))</f>
        <v>Лютиков Александр</v>
      </c>
      <c r="I30" s="124"/>
      <c r="J30" s="124"/>
      <c r="K30" s="37">
        <v>6</v>
      </c>
      <c r="L30" s="40" t="s">
        <v>10</v>
      </c>
      <c r="M30" s="80">
        <v>3</v>
      </c>
    </row>
    <row r="31" spans="1:14" s="36" customFormat="1" ht="30" customHeight="1" thickBot="1" x14ac:dyDescent="0.4">
      <c r="A31" s="35"/>
      <c r="B31" s="37">
        <v>3</v>
      </c>
      <c r="C31" s="124" t="str">
        <f ca="1">IF(ISBLANK(INDIRECT(ADDRESS(B31*2+2,3))),"",INDIRECT(ADDRESS(B31*2+2,3)))</f>
        <v>Ли Александр</v>
      </c>
      <c r="D31" s="124"/>
      <c r="E31" s="125"/>
      <c r="F31" s="38">
        <v>13</v>
      </c>
      <c r="G31" s="39">
        <v>4</v>
      </c>
      <c r="H31" s="126" t="str">
        <f ca="1">IF(ISBLANK(INDIRECT(ADDRESS(K31*2+2,3))),"",INDIRECT(ADDRESS(K31*2+2,3)))</f>
        <v>Шапкин Константин</v>
      </c>
      <c r="I31" s="124"/>
      <c r="J31" s="124"/>
      <c r="K31" s="37">
        <v>1</v>
      </c>
      <c r="L31" s="40" t="s">
        <v>10</v>
      </c>
      <c r="M31" s="80">
        <v>2</v>
      </c>
    </row>
    <row r="32" spans="1:14" s="36" customFormat="1" ht="30" customHeight="1" thickBot="1" x14ac:dyDescent="0.4">
      <c r="A32" s="35"/>
      <c r="B32" s="37">
        <v>4</v>
      </c>
      <c r="C32" s="124" t="str">
        <f ca="1">IF(ISBLANK(INDIRECT(ADDRESS(B32*2+2,3))),"",INDIRECT(ADDRESS(B32*2+2,3)))</f>
        <v>Горячев Никита</v>
      </c>
      <c r="D32" s="124"/>
      <c r="E32" s="125"/>
      <c r="F32" s="38">
        <v>10</v>
      </c>
      <c r="G32" s="39">
        <v>13</v>
      </c>
      <c r="H32" s="126" t="str">
        <f ca="1">IF(ISBLANK(INDIRECT(ADDRESS(K32*2+2,3))),"",INDIRECT(ADDRESS(K32*2+2,3)))</f>
        <v>Каргашин Илья</v>
      </c>
      <c r="I32" s="124"/>
      <c r="J32" s="124"/>
      <c r="K32" s="37">
        <v>5</v>
      </c>
      <c r="L32" s="40" t="s">
        <v>10</v>
      </c>
      <c r="M32" s="80">
        <v>1</v>
      </c>
    </row>
    <row r="33" spans="1:13" s="36" customFormat="1" ht="30" customHeight="1" x14ac:dyDescent="0.35">
      <c r="A33" s="35"/>
      <c r="M33" s="41"/>
    </row>
    <row r="34" spans="1:13" s="36" customFormat="1" ht="30" customHeight="1" thickBot="1" x14ac:dyDescent="0.4">
      <c r="A34" s="35"/>
      <c r="B34" s="147" t="s">
        <v>7</v>
      </c>
      <c r="C34" s="147"/>
      <c r="D34" s="147"/>
      <c r="E34" s="147"/>
      <c r="F34" s="147"/>
      <c r="G34" s="147"/>
      <c r="H34" s="147"/>
      <c r="I34" s="147"/>
      <c r="J34" s="147"/>
      <c r="K34" s="147"/>
      <c r="M34" s="41"/>
    </row>
    <row r="35" spans="1:13" s="36" customFormat="1" ht="30" customHeight="1" thickBot="1" x14ac:dyDescent="0.4">
      <c r="A35" s="35"/>
      <c r="B35" s="37">
        <v>6</v>
      </c>
      <c r="C35" s="124" t="str">
        <f ca="1">IF(ISBLANK(INDIRECT(ADDRESS(B35*2+2,3))),"",INDIRECT(ADDRESS(B35*2+2,3)))</f>
        <v>Лютиков Александр</v>
      </c>
      <c r="D35" s="124"/>
      <c r="E35" s="125"/>
      <c r="F35" s="38"/>
      <c r="G35" s="39"/>
      <c r="H35" s="126" t="str">
        <f ca="1">IF(ISBLANK(INDIRECT(ADDRESS(K35*2+2,3))),"",INDIRECT(ADDRESS(K35*2+2,3)))</f>
        <v>Каргашин Илья</v>
      </c>
      <c r="I35" s="124"/>
      <c r="J35" s="124"/>
      <c r="K35" s="37">
        <v>5</v>
      </c>
      <c r="L35" s="40" t="s">
        <v>10</v>
      </c>
      <c r="M35" s="80">
        <v>6</v>
      </c>
    </row>
    <row r="36" spans="1:13" s="36" customFormat="1" ht="30" customHeight="1" thickBot="1" x14ac:dyDescent="0.4">
      <c r="A36" s="35"/>
      <c r="B36" s="37">
        <v>1</v>
      </c>
      <c r="C36" s="124" t="str">
        <f ca="1">IF(ISBLANK(INDIRECT(ADDRESS(B36*2+2,3))),"",INDIRECT(ADDRESS(B36*2+2,3)))</f>
        <v>Шапкин Константин</v>
      </c>
      <c r="D36" s="124"/>
      <c r="E36" s="125"/>
      <c r="F36" s="38">
        <v>12</v>
      </c>
      <c r="G36" s="39">
        <v>13</v>
      </c>
      <c r="H36" s="126" t="str">
        <f ca="1">IF(ISBLANK(INDIRECT(ADDRESS(K36*2+2,3))),"",INDIRECT(ADDRESS(K36*2+2,3)))</f>
        <v>Горячев Никита</v>
      </c>
      <c r="I36" s="124"/>
      <c r="J36" s="124"/>
      <c r="K36" s="37">
        <v>4</v>
      </c>
      <c r="L36" s="40" t="s">
        <v>10</v>
      </c>
      <c r="M36" s="80">
        <v>5</v>
      </c>
    </row>
    <row r="37" spans="1:13" s="36" customFormat="1" ht="30" customHeight="1" thickBot="1" x14ac:dyDescent="0.4">
      <c r="A37" s="35"/>
      <c r="B37" s="37">
        <v>2</v>
      </c>
      <c r="C37" s="124" t="str">
        <f ca="1">IF(ISBLANK(INDIRECT(ADDRESS(B37*2+2,3))),"",INDIRECT(ADDRESS(B37*2+2,3)))</f>
        <v>Красноперов Игорь</v>
      </c>
      <c r="D37" s="124"/>
      <c r="E37" s="125"/>
      <c r="F37" s="38">
        <v>11</v>
      </c>
      <c r="G37" s="39">
        <v>10</v>
      </c>
      <c r="H37" s="126" t="str">
        <f ca="1">IF(ISBLANK(INDIRECT(ADDRESS(K37*2+2,3))),"",INDIRECT(ADDRESS(K37*2+2,3)))</f>
        <v>Ли Александр</v>
      </c>
      <c r="I37" s="124"/>
      <c r="J37" s="124"/>
      <c r="K37" s="37">
        <v>3</v>
      </c>
      <c r="L37" s="40" t="s">
        <v>10</v>
      </c>
      <c r="M37" s="80">
        <v>4</v>
      </c>
    </row>
    <row r="38" spans="1:13" s="36" customFormat="1" ht="30" customHeight="1" x14ac:dyDescent="0.35">
      <c r="A38" s="35"/>
      <c r="M38" s="41"/>
    </row>
    <row r="39" spans="1:13" s="36" customFormat="1" ht="30" customHeight="1" thickBot="1" x14ac:dyDescent="0.4">
      <c r="A39" s="35"/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  <c r="M39" s="41"/>
    </row>
    <row r="40" spans="1:13" s="36" customFormat="1" ht="30" customHeight="1" thickBot="1" x14ac:dyDescent="0.4">
      <c r="A40" s="35"/>
      <c r="B40" s="37">
        <v>3</v>
      </c>
      <c r="C40" s="124" t="str">
        <f ca="1">IF(ISBLANK(INDIRECT(ADDRESS(B40*2+2,3))),"",INDIRECT(ADDRESS(B40*2+2,3)))</f>
        <v>Ли Александр</v>
      </c>
      <c r="D40" s="124"/>
      <c r="E40" s="125"/>
      <c r="F40" s="38"/>
      <c r="G40" s="39"/>
      <c r="H40" s="126" t="str">
        <f ca="1">IF(ISBLANK(INDIRECT(ADDRESS(K40*2+2,3))),"",INDIRECT(ADDRESS(K40*2+2,3)))</f>
        <v>Лютиков Александр</v>
      </c>
      <c r="I40" s="124"/>
      <c r="J40" s="124"/>
      <c r="K40" s="37">
        <v>6</v>
      </c>
      <c r="L40" s="40" t="s">
        <v>10</v>
      </c>
      <c r="M40" s="80">
        <v>1</v>
      </c>
    </row>
    <row r="41" spans="1:13" s="36" customFormat="1" ht="30" customHeight="1" thickBot="1" x14ac:dyDescent="0.4">
      <c r="A41" s="35"/>
      <c r="B41" s="37">
        <v>4</v>
      </c>
      <c r="C41" s="124" t="str">
        <f ca="1">IF(ISBLANK(INDIRECT(ADDRESS(B41*2+2,3))),"",INDIRECT(ADDRESS(B41*2+2,3)))</f>
        <v>Горячев Никита</v>
      </c>
      <c r="D41" s="124"/>
      <c r="E41" s="125"/>
      <c r="F41" s="38">
        <v>13</v>
      </c>
      <c r="G41" s="39">
        <v>3</v>
      </c>
      <c r="H41" s="126" t="str">
        <f ca="1">IF(ISBLANK(INDIRECT(ADDRESS(K41*2+2,3))),"",INDIRECT(ADDRESS(K41*2+2,3)))</f>
        <v>Красноперов Игорь</v>
      </c>
      <c r="I41" s="124"/>
      <c r="J41" s="124"/>
      <c r="K41" s="37">
        <v>2</v>
      </c>
      <c r="L41" s="40" t="s">
        <v>10</v>
      </c>
      <c r="M41" s="80">
        <v>2</v>
      </c>
    </row>
    <row r="42" spans="1:13" s="36" customFormat="1" ht="30" customHeight="1" thickBot="1" x14ac:dyDescent="0.4">
      <c r="A42" s="35"/>
      <c r="B42" s="37">
        <v>5</v>
      </c>
      <c r="C42" s="124" t="str">
        <f ca="1">IF(ISBLANK(INDIRECT(ADDRESS(B42*2+2,3))),"",INDIRECT(ADDRESS(B42*2+2,3)))</f>
        <v>Каргашин Илья</v>
      </c>
      <c r="D42" s="124"/>
      <c r="E42" s="125"/>
      <c r="F42" s="38">
        <v>9</v>
      </c>
      <c r="G42" s="39">
        <v>13</v>
      </c>
      <c r="H42" s="126" t="str">
        <f ca="1">IF(ISBLANK(INDIRECT(ADDRESS(K42*2+2,3))),"",INDIRECT(ADDRESS(K42*2+2,3)))</f>
        <v>Шапкин Константин</v>
      </c>
      <c r="I42" s="124"/>
      <c r="J42" s="124"/>
      <c r="K42" s="37">
        <v>1</v>
      </c>
      <c r="L42" s="40" t="s">
        <v>10</v>
      </c>
      <c r="M42" s="80">
        <v>3</v>
      </c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25" right="0.25" top="0.75" bottom="0.75" header="0.3" footer="0.3"/>
  <pageSetup paperSize="9"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C8" sqref="C8:E9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57" customWidth="1"/>
    <col min="14" max="15" width="10.28515625" customWidth="1"/>
  </cols>
  <sheetData>
    <row r="1" spans="2:13" customFormat="1" ht="59.25" customHeight="1" x14ac:dyDescent="0.25">
      <c r="B1" s="253" t="s">
        <v>163</v>
      </c>
      <c r="C1" s="253"/>
      <c r="D1" s="253"/>
      <c r="E1" s="253"/>
      <c r="F1" s="253"/>
      <c r="G1" s="253"/>
      <c r="H1" s="253"/>
      <c r="I1" s="253"/>
      <c r="J1" s="253"/>
      <c r="K1" s="253"/>
      <c r="L1" t="s">
        <v>30</v>
      </c>
      <c r="M1" s="31">
        <v>46047</v>
      </c>
    </row>
    <row r="2" spans="2:13" customFormat="1" ht="15.75" thickBot="1" x14ac:dyDescent="0.3">
      <c r="M2" t="s">
        <v>45</v>
      </c>
    </row>
    <row r="3" spans="2:13" customFormat="1" ht="30" customHeight="1" thickBot="1" x14ac:dyDescent="0.3">
      <c r="B3" s="81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81" t="s">
        <v>1</v>
      </c>
      <c r="L3" s="1" t="s">
        <v>3</v>
      </c>
      <c r="M3" s="21" t="s">
        <v>2</v>
      </c>
    </row>
    <row r="4" spans="2:13" customFormat="1" ht="24" customHeight="1" x14ac:dyDescent="0.25">
      <c r="B4" s="131">
        <v>1</v>
      </c>
      <c r="C4" s="133" t="s">
        <v>168</v>
      </c>
      <c r="D4" s="134"/>
      <c r="E4" s="135"/>
      <c r="F4" s="10" t="s">
        <v>24</v>
      </c>
      <c r="G4" s="6" t="str">
        <f ca="1">INDIRECT(ADDRESS(23,6))&amp;":"&amp;INDIRECT(ADDRESS(23,7))</f>
        <v>13:4</v>
      </c>
      <c r="H4" s="6" t="str">
        <f ca="1">INDIRECT(ADDRESS(26,7))&amp;":"&amp;INDIRECT(ADDRESS(26,6))</f>
        <v>13:5</v>
      </c>
      <c r="I4" s="6" t="str">
        <f ca="1">INDIRECT(ADDRESS(30,6))&amp;":"&amp;INDIRECT(ADDRESS(30,7))</f>
        <v>13:6</v>
      </c>
      <c r="J4" s="20" t="str">
        <f ca="1">INDIRECT(ADDRESS(35,7))&amp;":"&amp;INDIRECT(ADDRESS(35,6))</f>
        <v>7:8</v>
      </c>
      <c r="K4" s="150">
        <f ca="1">IF(COUNT(F5:J5)=0,"",COUNTIF(F5:J5,"&gt;0")+0.5*COUNTIF(F5:J5,0))</f>
        <v>3</v>
      </c>
      <c r="L4" s="23">
        <v>7</v>
      </c>
      <c r="M4" s="148">
        <v>1</v>
      </c>
    </row>
    <row r="5" spans="2:13" customFormat="1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COLUMN())))=1,"",INDIRECT(ADDRESS(23,6))-INDIRECT(ADDRESS(23,7)))</f>
        <v>9</v>
      </c>
      <c r="H5" s="16">
        <f ca="1">IF(LEN(INDIRECT(ADDRESS(ROW()-1, COLUMN())))=1,"",INDIRECT(ADDRESS(26,7))-INDIRECT(ADDRESS(26,6)))</f>
        <v>8</v>
      </c>
      <c r="I5" s="16">
        <f ca="1">IF(LEN(INDIRECT(ADDRESS(ROW()-1, COLUMN())))=1,"",INDIRECT(ADDRESS(30,6))-INDIRECT(ADDRESS(30,7)))</f>
        <v>7</v>
      </c>
      <c r="J5" s="17">
        <f ca="1">IF(LEN(INDIRECT(ADDRESS(ROW()-1, COLUMN())))=1,"",INDIRECT(ADDRESS(35,7))-INDIRECT(ADDRESS(35,6)))</f>
        <v>-1</v>
      </c>
      <c r="K5" s="151"/>
      <c r="L5" s="16">
        <f ca="1">IF(COUNT(F5:J5)=0,"",SUM(F5:J5))</f>
        <v>23</v>
      </c>
      <c r="M5" s="149"/>
    </row>
    <row r="6" spans="2:13" customFormat="1" ht="24" customHeight="1" x14ac:dyDescent="0.25">
      <c r="B6" s="139">
        <v>2</v>
      </c>
      <c r="C6" s="140" t="s">
        <v>169</v>
      </c>
      <c r="D6" s="141"/>
      <c r="E6" s="142"/>
      <c r="F6" s="12" t="str">
        <f ca="1">INDIRECT(ADDRESS(23,7))&amp;":"&amp;INDIRECT(ADDRESS(23,6))</f>
        <v>4:13</v>
      </c>
      <c r="G6" s="8" t="s">
        <v>24</v>
      </c>
      <c r="H6" s="7" t="str">
        <f ca="1">INDIRECT(ADDRESS(31,6))&amp;":"&amp;INDIRECT(ADDRESS(31,7))</f>
        <v>12:13</v>
      </c>
      <c r="I6" s="7" t="str">
        <f ca="1">INDIRECT(ADDRESS(34,7))&amp;":"&amp;INDIRECT(ADDRESS(34,6))</f>
        <v>13:7</v>
      </c>
      <c r="J6" s="11" t="str">
        <f ca="1">INDIRECT(ADDRESS(18,6))&amp;":"&amp;INDIRECT(ADDRESS(18,7))</f>
        <v>7:13</v>
      </c>
      <c r="K6" s="151">
        <f ca="1">IF(COUNT(F7:J7)=0,"",COUNTIF(F7:J7,"&gt;0")+0.5*COUNTIF(F7:J7,0))</f>
        <v>1</v>
      </c>
      <c r="L6" s="16"/>
      <c r="M6" s="149">
        <v>4</v>
      </c>
    </row>
    <row r="7" spans="2:13" customFormat="1" ht="24" customHeight="1" x14ac:dyDescent="0.25">
      <c r="B7" s="132"/>
      <c r="C7" s="140"/>
      <c r="D7" s="141"/>
      <c r="E7" s="142"/>
      <c r="F7" s="22">
        <f ca="1">IF(LEN(INDIRECT(ADDRESS(ROW()-1, COLUMN())))=1,"",INDIRECT(ADDRESS(23,7))-INDIRECT(ADDRESS(23,6)))</f>
        <v>-9</v>
      </c>
      <c r="G7" s="14" t="s">
        <v>24</v>
      </c>
      <c r="H7" s="16">
        <f ca="1">IF(LEN(INDIRECT(ADDRESS(ROW()-1, COLUMN())))=1,"",INDIRECT(ADDRESS(31,6))-INDIRECT(ADDRESS(31,7)))</f>
        <v>-1</v>
      </c>
      <c r="I7" s="16">
        <f ca="1">IF(LEN(INDIRECT(ADDRESS(ROW()-1, COLUMN())))=1,"",INDIRECT(ADDRESS(34,7))-INDIRECT(ADDRESS(34,6)))</f>
        <v>6</v>
      </c>
      <c r="J7" s="17">
        <f ca="1">IF(LEN(INDIRECT(ADDRESS(ROW()-1, COLUMN())))=1,"",INDIRECT(ADDRESS(18,6))-INDIRECT(ADDRESS(18,7)))</f>
        <v>-6</v>
      </c>
      <c r="K7" s="151"/>
      <c r="L7" s="16">
        <f ca="1">IF(COUNT(F7:J7)=0,"",SUM(F7:J7))</f>
        <v>-10</v>
      </c>
      <c r="M7" s="149"/>
    </row>
    <row r="8" spans="2:13" customFormat="1" ht="24" customHeight="1" x14ac:dyDescent="0.25">
      <c r="B8" s="139">
        <v>3</v>
      </c>
      <c r="C8" s="152" t="s">
        <v>170</v>
      </c>
      <c r="D8" s="153"/>
      <c r="E8" s="154"/>
      <c r="F8" s="12" t="str">
        <f ca="1">INDIRECT(ADDRESS(26,6))&amp;":"&amp;INDIRECT(ADDRESS(26,7))</f>
        <v>5:13</v>
      </c>
      <c r="G8" s="7" t="str">
        <f ca="1">INDIRECT(ADDRESS(31,7))&amp;":"&amp;INDIRECT(ADDRESS(31,6))</f>
        <v>13:12</v>
      </c>
      <c r="H8" s="8" t="s">
        <v>24</v>
      </c>
      <c r="I8" s="7" t="str">
        <f ca="1">INDIRECT(ADDRESS(19,6))&amp;":"&amp;INDIRECT(ADDRESS(19,7))</f>
        <v>13:7</v>
      </c>
      <c r="J8" s="11" t="str">
        <f ca="1">INDIRECT(ADDRESS(22,7))&amp;":"&amp;INDIRECT(ADDRESS(22,6))</f>
        <v>12:8</v>
      </c>
      <c r="K8" s="151">
        <f ca="1">IF(COUNT(F9:J9)=0,"",COUNTIF(F9:J9,"&gt;0")+0.5*COUNTIF(F9:J9,0))</f>
        <v>3</v>
      </c>
      <c r="L8" s="16">
        <v>-4</v>
      </c>
      <c r="M8" s="149">
        <v>3</v>
      </c>
    </row>
    <row r="9" spans="2:13" customFormat="1" ht="24" customHeight="1" x14ac:dyDescent="0.25">
      <c r="B9" s="132"/>
      <c r="C9" s="152"/>
      <c r="D9" s="153"/>
      <c r="E9" s="154"/>
      <c r="F9" s="22">
        <f ca="1">IF(LEN(INDIRECT(ADDRESS(ROW()-1, COLUMN())))=1,"",INDIRECT(ADDRESS(26,6))-INDIRECT(ADDRESS(26,7)))</f>
        <v>-8</v>
      </c>
      <c r="G9" s="16">
        <f ca="1">IF(LEN(INDIRECT(ADDRESS(ROW()-1, COLUMN())))=1,"",INDIRECT(ADDRESS(31,7))-INDIRECT(ADDRESS(31,6)))</f>
        <v>1</v>
      </c>
      <c r="H9" s="14" t="s">
        <v>24</v>
      </c>
      <c r="I9" s="16">
        <f ca="1">IF(LEN(INDIRECT(ADDRESS(ROW()-1, COLUMN())))=1,"",INDIRECT(ADDRESS(19,6))-INDIRECT(ADDRESS(19,7)))</f>
        <v>6</v>
      </c>
      <c r="J9" s="17">
        <f ca="1">IF(LEN(INDIRECT(ADDRESS(ROW()-1, COLUMN())))=1,"",INDIRECT(ADDRESS(22,7))-INDIRECT(ADDRESS(22,6)))</f>
        <v>4</v>
      </c>
      <c r="K9" s="151"/>
      <c r="L9" s="16">
        <f ca="1">IF(COUNT(F9:J9)=0,"",SUM(F9:J9))</f>
        <v>3</v>
      </c>
      <c r="M9" s="149"/>
    </row>
    <row r="10" spans="2:13" customFormat="1" ht="24" customHeight="1" x14ac:dyDescent="0.25">
      <c r="B10" s="139">
        <v>4</v>
      </c>
      <c r="C10" s="140" t="s">
        <v>171</v>
      </c>
      <c r="D10" s="141"/>
      <c r="E10" s="142"/>
      <c r="F10" s="12" t="str">
        <f ca="1">INDIRECT(ADDRESS(30,7))&amp;":"&amp;INDIRECT(ADDRESS(30,6))</f>
        <v>6:13</v>
      </c>
      <c r="G10" s="7" t="str">
        <f ca="1">INDIRECT(ADDRESS(34,6))&amp;":"&amp;INDIRECT(ADDRESS(34,7))</f>
        <v>7:13</v>
      </c>
      <c r="H10" s="7" t="str">
        <f ca="1">INDIRECT(ADDRESS(19,7))&amp;":"&amp;INDIRECT(ADDRESS(19,6))</f>
        <v>7:13</v>
      </c>
      <c r="I10" s="8" t="s">
        <v>24</v>
      </c>
      <c r="J10" s="11" t="str">
        <f ca="1">INDIRECT(ADDRESS(27,6))&amp;":"&amp;INDIRECT(ADDRESS(27,7))</f>
        <v>10:12</v>
      </c>
      <c r="K10" s="151">
        <f ca="1">IF(COUNT(F11:J11)=0,"",COUNTIF(F11:J11,"&gt;0")+0.5*COUNTIF(F11:J11,0))</f>
        <v>0</v>
      </c>
      <c r="L10" s="16"/>
      <c r="M10" s="149">
        <v>5</v>
      </c>
    </row>
    <row r="11" spans="2:13" customFormat="1" ht="24" customHeight="1" x14ac:dyDescent="0.25">
      <c r="B11" s="132"/>
      <c r="C11" s="140"/>
      <c r="D11" s="141"/>
      <c r="E11" s="142"/>
      <c r="F11" s="22">
        <f ca="1">IF(LEN(INDIRECT(ADDRESS(ROW()-1, COLUMN())))=1,"",INDIRECT(ADDRESS(30,7))-INDIRECT(ADDRESS(30,6)))</f>
        <v>-7</v>
      </c>
      <c r="G11" s="16">
        <f ca="1">IF(LEN(INDIRECT(ADDRESS(ROW()-1, COLUMN())))=1,"",INDIRECT(ADDRESS(34,6))-INDIRECT(ADDRESS(34,7)))</f>
        <v>-6</v>
      </c>
      <c r="H11" s="16">
        <f ca="1">IF(LEN(INDIRECT(ADDRESS(ROW()-1, COLUMN())))=1,"",INDIRECT(ADDRESS(19,7))-INDIRECT(ADDRESS(19,6)))</f>
        <v>-6</v>
      </c>
      <c r="I11" s="14" t="s">
        <v>24</v>
      </c>
      <c r="J11" s="17">
        <f ca="1">IF(LEN(INDIRECT(ADDRESS(ROW()-1, COLUMN())))=1,"",INDIRECT(ADDRESS(27,6))-INDIRECT(ADDRESS(27,7)))</f>
        <v>-2</v>
      </c>
      <c r="K11" s="151"/>
      <c r="L11" s="16">
        <f ca="1">IF(COUNT(F11:J11)=0,"",SUM(F11:J11))</f>
        <v>-21</v>
      </c>
      <c r="M11" s="149"/>
    </row>
    <row r="12" spans="2:13" customFormat="1" ht="24" customHeight="1" x14ac:dyDescent="0.25">
      <c r="B12" s="139">
        <v>5</v>
      </c>
      <c r="C12" s="136" t="s">
        <v>172</v>
      </c>
      <c r="D12" s="137"/>
      <c r="E12" s="138"/>
      <c r="F12" s="12" t="str">
        <f ca="1">INDIRECT(ADDRESS(35,6))&amp;":"&amp;INDIRECT(ADDRESS(35,7))</f>
        <v>8:7</v>
      </c>
      <c r="G12" s="7" t="str">
        <f ca="1">INDIRECT(ADDRESS(18,7))&amp;":"&amp;INDIRECT(ADDRESS(18,6))</f>
        <v>13:7</v>
      </c>
      <c r="H12" s="7" t="str">
        <f ca="1">INDIRECT(ADDRESS(22,6))&amp;":"&amp;INDIRECT(ADDRESS(22,7))</f>
        <v>8:12</v>
      </c>
      <c r="I12" s="7" t="str">
        <f ca="1">INDIRECT(ADDRESS(27,7))&amp;":"&amp;INDIRECT(ADDRESS(27,6))</f>
        <v>12:10</v>
      </c>
      <c r="J12" s="34" t="s">
        <v>24</v>
      </c>
      <c r="K12" s="151">
        <f ca="1">IF(COUNT(F13:J13)=0,"",COUNTIF(F13:J13,"&gt;0")+0.5*COUNTIF(F13:J13,0))</f>
        <v>3</v>
      </c>
      <c r="L12" s="16">
        <v>-3</v>
      </c>
      <c r="M12" s="149">
        <v>2</v>
      </c>
    </row>
    <row r="13" spans="2:13" customFormat="1" ht="24" customHeight="1" thickBot="1" x14ac:dyDescent="0.3">
      <c r="B13" s="143"/>
      <c r="C13" s="250"/>
      <c r="D13" s="251"/>
      <c r="E13" s="252"/>
      <c r="F13" s="19">
        <f ca="1">IF(LEN(INDIRECT(ADDRESS(ROW()-1, COLUMN())))=1,"",INDIRECT(ADDRESS(35,6))-INDIRECT(ADDRESS(35,7)))</f>
        <v>1</v>
      </c>
      <c r="G13" s="18">
        <f ca="1">IF(LEN(INDIRECT(ADDRESS(ROW()-1, COLUMN())))=1,"",INDIRECT(ADDRESS(18,7))-INDIRECT(ADDRESS(18,6)))</f>
        <v>6</v>
      </c>
      <c r="H13" s="18">
        <f ca="1">IF(LEN(INDIRECT(ADDRESS(ROW()-1, COLUMN())))=1,"",INDIRECT(ADDRESS(22,6))-INDIRECT(ADDRESS(22,7)))</f>
        <v>-4</v>
      </c>
      <c r="I13" s="18">
        <f ca="1">IF(LEN(INDIRECT(ADDRESS(ROW()-1, COLUMN())))=1,"",INDIRECT(ADDRESS(27,7))-INDIRECT(ADDRESS(27,6)))</f>
        <v>2</v>
      </c>
      <c r="J13" s="15" t="s">
        <v>24</v>
      </c>
      <c r="K13" s="156"/>
      <c r="L13" s="18">
        <f ca="1">IF(COUNT(F13:J13)=0,"",SUM(F13:J13))</f>
        <v>5</v>
      </c>
      <c r="M13" s="155"/>
    </row>
    <row r="14" spans="2:13" customFormat="1" x14ac:dyDescent="0.25"/>
    <row r="15" spans="2:13" customFormat="1" x14ac:dyDescent="0.25"/>
    <row r="16" spans="2:13" customFormat="1" x14ac:dyDescent="0.25"/>
    <row r="17" spans="1:13" ht="30" customHeight="1" thickBot="1" x14ac:dyDescent="0.3">
      <c r="A17"/>
      <c r="B17" s="147" t="s">
        <v>4</v>
      </c>
      <c r="C17" s="147"/>
      <c r="D17" s="147"/>
      <c r="E17" s="147"/>
      <c r="F17" s="147"/>
      <c r="G17" s="147"/>
      <c r="H17" s="147"/>
      <c r="I17" s="147"/>
      <c r="J17" s="147"/>
      <c r="K17" s="147"/>
    </row>
    <row r="18" spans="1:13" ht="30" customHeight="1" thickBot="1" x14ac:dyDescent="0.3">
      <c r="A18"/>
      <c r="B18" s="5">
        <v>2</v>
      </c>
      <c r="C18" s="177" t="str">
        <f ca="1">IF(ISBLANK(INDIRECT(ADDRESS(B18*2+2,3))),"",INDIRECT(ADDRESS(B18*2+2,3)))</f>
        <v>Папоян Григорий</v>
      </c>
      <c r="D18" s="177"/>
      <c r="E18" s="178"/>
      <c r="F18" s="24">
        <v>7</v>
      </c>
      <c r="G18" s="25">
        <v>13</v>
      </c>
      <c r="H18" s="181" t="str">
        <f ca="1">IF(ISBLANK(INDIRECT(ADDRESS(K18*2+2,3))),"",INDIRECT(ADDRESS(K18*2+2,3)))</f>
        <v>Тарасов Константин</v>
      </c>
      <c r="I18" s="177"/>
      <c r="J18" s="177"/>
      <c r="K18" s="5">
        <v>5</v>
      </c>
      <c r="L18" s="27" t="s">
        <v>10</v>
      </c>
      <c r="M18" s="80">
        <v>1</v>
      </c>
    </row>
    <row r="19" spans="1:13" ht="30" customHeight="1" thickBot="1" x14ac:dyDescent="0.3">
      <c r="A19"/>
      <c r="B19" s="5">
        <v>3</v>
      </c>
      <c r="C19" s="177" t="str">
        <f ca="1">IF(ISBLANK(INDIRECT(ADDRESS(B19*2+2,3))),"",INDIRECT(ADDRESS(B19*2+2,3)))</f>
        <v>Денисов Евгений</v>
      </c>
      <c r="D19" s="177"/>
      <c r="E19" s="178"/>
      <c r="F19" s="24">
        <v>13</v>
      </c>
      <c r="G19" s="25">
        <v>7</v>
      </c>
      <c r="H19" s="181" t="str">
        <f ca="1">IF(ISBLANK(INDIRECT(ADDRESS(K19*2+2,3))),"",INDIRECT(ADDRESS(K19*2+2,3)))</f>
        <v>Рязанов Владимир</v>
      </c>
      <c r="I19" s="177"/>
      <c r="J19" s="177"/>
      <c r="K19" s="5">
        <v>4</v>
      </c>
      <c r="L19" s="27" t="s">
        <v>10</v>
      </c>
      <c r="M19" s="80">
        <v>2</v>
      </c>
    </row>
    <row r="20" spans="1:13" ht="30" customHeight="1" x14ac:dyDescent="0.35">
      <c r="A20"/>
      <c r="M20" s="41"/>
    </row>
    <row r="21" spans="1:13" ht="30" customHeight="1" thickBot="1" x14ac:dyDescent="0.4">
      <c r="A21"/>
      <c r="B21" s="147" t="s">
        <v>5</v>
      </c>
      <c r="C21" s="147"/>
      <c r="D21" s="147"/>
      <c r="E21" s="147"/>
      <c r="F21" s="147"/>
      <c r="G21" s="147"/>
      <c r="H21" s="147"/>
      <c r="I21" s="147"/>
      <c r="J21" s="147"/>
      <c r="K21" s="147"/>
      <c r="M21" s="41"/>
    </row>
    <row r="22" spans="1:13" ht="30" customHeight="1" thickBot="1" x14ac:dyDescent="0.3">
      <c r="A22"/>
      <c r="B22" s="5">
        <v>5</v>
      </c>
      <c r="C22" s="177" t="str">
        <f ca="1">IF(ISBLANK(INDIRECT(ADDRESS(B22*2+2,3))),"",INDIRECT(ADDRESS(B22*2+2,3)))</f>
        <v>Тарасов Константин</v>
      </c>
      <c r="D22" s="177"/>
      <c r="E22" s="178"/>
      <c r="F22" s="24">
        <v>8</v>
      </c>
      <c r="G22" s="25">
        <v>12</v>
      </c>
      <c r="H22" s="181" t="str">
        <f ca="1">IF(ISBLANK(INDIRECT(ADDRESS(K22*2+2,3))),"",INDIRECT(ADDRESS(K22*2+2,3)))</f>
        <v>Денисов Евгений</v>
      </c>
      <c r="I22" s="177"/>
      <c r="J22" s="177"/>
      <c r="K22" s="5">
        <v>3</v>
      </c>
      <c r="L22" s="27" t="s">
        <v>10</v>
      </c>
      <c r="M22" s="80">
        <v>4</v>
      </c>
    </row>
    <row r="23" spans="1:13" ht="30" customHeight="1" thickBot="1" x14ac:dyDescent="0.3">
      <c r="A23"/>
      <c r="B23" s="5">
        <v>1</v>
      </c>
      <c r="C23" s="177" t="str">
        <f ca="1">IF(ISBLANK(INDIRECT(ADDRESS(B23*2+2,3))),"",INDIRECT(ADDRESS(B23*2+2,3)))</f>
        <v>Поляков Алексей</v>
      </c>
      <c r="D23" s="177"/>
      <c r="E23" s="178"/>
      <c r="F23" s="24">
        <v>13</v>
      </c>
      <c r="G23" s="25">
        <v>4</v>
      </c>
      <c r="H23" s="181" t="str">
        <f ca="1">IF(ISBLANK(INDIRECT(ADDRESS(K23*2+2,3))),"",INDIRECT(ADDRESS(K23*2+2,3)))</f>
        <v>Папоян Григорий</v>
      </c>
      <c r="I23" s="177"/>
      <c r="J23" s="177"/>
      <c r="K23" s="5">
        <v>2</v>
      </c>
      <c r="L23" s="27" t="s">
        <v>10</v>
      </c>
      <c r="M23" s="80">
        <v>5</v>
      </c>
    </row>
    <row r="24" spans="1:13" ht="30" customHeight="1" x14ac:dyDescent="0.35">
      <c r="A24"/>
      <c r="M24" s="41"/>
    </row>
    <row r="25" spans="1:13" ht="30" customHeight="1" thickBot="1" x14ac:dyDescent="0.4">
      <c r="A25"/>
      <c r="B25" s="147" t="s">
        <v>6</v>
      </c>
      <c r="C25" s="147"/>
      <c r="D25" s="147"/>
      <c r="E25" s="147"/>
      <c r="F25" s="147"/>
      <c r="G25" s="147"/>
      <c r="H25" s="147"/>
      <c r="I25" s="147"/>
      <c r="J25" s="147"/>
      <c r="K25" s="147"/>
      <c r="M25" s="41"/>
    </row>
    <row r="26" spans="1:13" ht="30" customHeight="1" thickBot="1" x14ac:dyDescent="0.3">
      <c r="A26"/>
      <c r="B26" s="5">
        <v>3</v>
      </c>
      <c r="C26" s="177" t="str">
        <f ca="1">IF(ISBLANK(INDIRECT(ADDRESS(B26*2+2,3))),"",INDIRECT(ADDRESS(B26*2+2,3)))</f>
        <v>Денисов Евгений</v>
      </c>
      <c r="D26" s="177"/>
      <c r="E26" s="178"/>
      <c r="F26" s="24">
        <v>5</v>
      </c>
      <c r="G26" s="25">
        <v>13</v>
      </c>
      <c r="H26" s="181" t="str">
        <f ca="1">IF(ISBLANK(INDIRECT(ADDRESS(K26*2+2,3))),"",INDIRECT(ADDRESS(K26*2+2,3)))</f>
        <v>Поляков Алексей</v>
      </c>
      <c r="I26" s="177"/>
      <c r="J26" s="177"/>
      <c r="K26" s="5">
        <v>1</v>
      </c>
      <c r="L26" s="27" t="s">
        <v>10</v>
      </c>
      <c r="M26" s="80">
        <v>1</v>
      </c>
    </row>
    <row r="27" spans="1:13" ht="30" customHeight="1" thickBot="1" x14ac:dyDescent="0.3">
      <c r="A27"/>
      <c r="B27" s="5">
        <v>4</v>
      </c>
      <c r="C27" s="177" t="str">
        <f ca="1">IF(ISBLANK(INDIRECT(ADDRESS(B27*2+2,3))),"",INDIRECT(ADDRESS(B27*2+2,3)))</f>
        <v>Рязанов Владимир</v>
      </c>
      <c r="D27" s="177"/>
      <c r="E27" s="178"/>
      <c r="F27" s="24">
        <v>10</v>
      </c>
      <c r="G27" s="25">
        <v>12</v>
      </c>
      <c r="H27" s="181" t="str">
        <f ca="1">IF(ISBLANK(INDIRECT(ADDRESS(K27*2+2,3))),"",INDIRECT(ADDRESS(K27*2+2,3)))</f>
        <v>Тарасов Константин</v>
      </c>
      <c r="I27" s="177"/>
      <c r="J27" s="177"/>
      <c r="K27" s="5">
        <v>5</v>
      </c>
      <c r="L27" s="27" t="s">
        <v>10</v>
      </c>
      <c r="M27" s="80">
        <v>3</v>
      </c>
    </row>
    <row r="28" spans="1:13" ht="30" customHeight="1" x14ac:dyDescent="0.35">
      <c r="A28"/>
      <c r="M28" s="41"/>
    </row>
    <row r="29" spans="1:13" ht="30" customHeight="1" thickBot="1" x14ac:dyDescent="0.4">
      <c r="A29"/>
      <c r="B29" s="147" t="s">
        <v>7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ht="30" customHeight="1" thickBot="1" x14ac:dyDescent="0.3">
      <c r="A30"/>
      <c r="B30" s="5">
        <v>1</v>
      </c>
      <c r="C30" s="177" t="str">
        <f ca="1">IF(ISBLANK(INDIRECT(ADDRESS(B30*2+2,3))),"",INDIRECT(ADDRESS(B30*2+2,3)))</f>
        <v>Поляков Алексей</v>
      </c>
      <c r="D30" s="177"/>
      <c r="E30" s="178"/>
      <c r="F30" s="24">
        <v>13</v>
      </c>
      <c r="G30" s="25">
        <v>6</v>
      </c>
      <c r="H30" s="181" t="str">
        <f ca="1">IF(ISBLANK(INDIRECT(ADDRESS(K30*2+2,3))),"",INDIRECT(ADDRESS(K30*2+2,3)))</f>
        <v>Рязанов Владимир</v>
      </c>
      <c r="I30" s="177"/>
      <c r="J30" s="177"/>
      <c r="K30" s="5">
        <v>4</v>
      </c>
      <c r="L30" s="27" t="s">
        <v>10</v>
      </c>
      <c r="M30" s="80">
        <v>4</v>
      </c>
    </row>
    <row r="31" spans="1:13" ht="30" customHeight="1" thickBot="1" x14ac:dyDescent="0.3">
      <c r="A31"/>
      <c r="B31" s="5">
        <v>2</v>
      </c>
      <c r="C31" s="177" t="str">
        <f ca="1">IF(ISBLANK(INDIRECT(ADDRESS(B31*2+2,3))),"",INDIRECT(ADDRESS(B31*2+2,3)))</f>
        <v>Папоян Григорий</v>
      </c>
      <c r="D31" s="177"/>
      <c r="E31" s="178"/>
      <c r="F31" s="24">
        <v>12</v>
      </c>
      <c r="G31" s="25">
        <v>13</v>
      </c>
      <c r="H31" s="181" t="str">
        <f ca="1">IF(ISBLANK(INDIRECT(ADDRESS(K31*2+2,3))),"",INDIRECT(ADDRESS(K31*2+2,3)))</f>
        <v>Денисов Евгений</v>
      </c>
      <c r="I31" s="177"/>
      <c r="J31" s="177"/>
      <c r="K31" s="5">
        <v>3</v>
      </c>
      <c r="L31" s="27" t="s">
        <v>10</v>
      </c>
      <c r="M31" s="80">
        <v>6</v>
      </c>
    </row>
    <row r="32" spans="1:13" ht="30" customHeight="1" x14ac:dyDescent="0.35">
      <c r="A32"/>
      <c r="M32" s="41"/>
    </row>
    <row r="33" spans="1:13" ht="30" customHeight="1" thickBot="1" x14ac:dyDescent="0.4">
      <c r="A33"/>
      <c r="B33" s="147" t="s">
        <v>8</v>
      </c>
      <c r="C33" s="147"/>
      <c r="D33" s="147"/>
      <c r="E33" s="147"/>
      <c r="F33" s="147"/>
      <c r="G33" s="147"/>
      <c r="H33" s="147"/>
      <c r="I33" s="147"/>
      <c r="J33" s="147"/>
      <c r="K33" s="147"/>
      <c r="M33" s="41"/>
    </row>
    <row r="34" spans="1:13" ht="30" customHeight="1" thickBot="1" x14ac:dyDescent="0.3">
      <c r="A34"/>
      <c r="B34" s="5">
        <v>4</v>
      </c>
      <c r="C34" s="177" t="str">
        <f ca="1">IF(ISBLANK(INDIRECT(ADDRESS(B34*2+2,3))),"",INDIRECT(ADDRESS(B34*2+2,3)))</f>
        <v>Рязанов Владимир</v>
      </c>
      <c r="D34" s="177"/>
      <c r="E34" s="178"/>
      <c r="F34" s="24">
        <v>7</v>
      </c>
      <c r="G34" s="25">
        <v>13</v>
      </c>
      <c r="H34" s="181" t="str">
        <f ca="1">IF(ISBLANK(INDIRECT(ADDRESS(K34*2+2,3))),"",INDIRECT(ADDRESS(K34*2+2,3)))</f>
        <v>Папоян Григорий</v>
      </c>
      <c r="I34" s="177"/>
      <c r="J34" s="177"/>
      <c r="K34" s="5">
        <v>2</v>
      </c>
      <c r="L34" s="27" t="s">
        <v>10</v>
      </c>
      <c r="M34" s="80">
        <v>1</v>
      </c>
    </row>
    <row r="35" spans="1:13" ht="30" customHeight="1" thickBot="1" x14ac:dyDescent="0.3">
      <c r="A35"/>
      <c r="B35" s="5">
        <v>5</v>
      </c>
      <c r="C35" s="177" t="str">
        <f ca="1">IF(ISBLANK(INDIRECT(ADDRESS(B35*2+2,3))),"",INDIRECT(ADDRESS(B35*2+2,3)))</f>
        <v>Тарасов Константин</v>
      </c>
      <c r="D35" s="177"/>
      <c r="E35" s="178"/>
      <c r="F35" s="24">
        <v>8</v>
      </c>
      <c r="G35" s="25">
        <v>7</v>
      </c>
      <c r="H35" s="181" t="str">
        <f ca="1">IF(ISBLANK(INDIRECT(ADDRESS(K35*2+2,3))),"",INDIRECT(ADDRESS(K35*2+2,3)))</f>
        <v>Поляков Алексей</v>
      </c>
      <c r="I35" s="177"/>
      <c r="J35" s="177"/>
      <c r="K35" s="5">
        <v>1</v>
      </c>
      <c r="L35" s="27" t="s">
        <v>10</v>
      </c>
      <c r="M35" s="80">
        <v>2</v>
      </c>
    </row>
    <row r="36" spans="1:13" x14ac:dyDescent="0.25">
      <c r="A36"/>
    </row>
    <row r="37" spans="1:13" x14ac:dyDescent="0.25">
      <c r="A37"/>
    </row>
    <row r="38" spans="1:13" x14ac:dyDescent="0.25">
      <c r="A38"/>
    </row>
    <row r="39" spans="1:13" x14ac:dyDescent="0.25">
      <c r="A39"/>
    </row>
    <row r="40" spans="1:13" x14ac:dyDescent="0.25">
      <c r="A40"/>
    </row>
    <row r="41" spans="1:13" x14ac:dyDescent="0.25">
      <c r="A41"/>
    </row>
    <row r="42" spans="1:13" x14ac:dyDescent="0.25">
      <c r="A42"/>
    </row>
  </sheetData>
  <mergeCells count="47">
    <mergeCell ref="C23:E23"/>
    <mergeCell ref="H23:J23"/>
    <mergeCell ref="B25:K25"/>
    <mergeCell ref="B33:K33"/>
    <mergeCell ref="C34:E34"/>
    <mergeCell ref="H34:J3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22:E22"/>
    <mergeCell ref="H22:J22"/>
    <mergeCell ref="B17:K17"/>
    <mergeCell ref="C18:E18"/>
    <mergeCell ref="H18:J18"/>
    <mergeCell ref="C19:E19"/>
    <mergeCell ref="H19:J19"/>
    <mergeCell ref="B21:K21"/>
    <mergeCell ref="M10:M11"/>
    <mergeCell ref="K12:K13"/>
    <mergeCell ref="M12:M13"/>
    <mergeCell ref="B6:B7"/>
    <mergeCell ref="C6:E7"/>
    <mergeCell ref="B8:B9"/>
    <mergeCell ref="C8:E9"/>
    <mergeCell ref="K6:K7"/>
    <mergeCell ref="M6:M7"/>
    <mergeCell ref="K8:K9"/>
    <mergeCell ref="M8:M9"/>
    <mergeCell ref="B10:B11"/>
    <mergeCell ref="C10:E11"/>
    <mergeCell ref="B12:B13"/>
    <mergeCell ref="C12:E13"/>
    <mergeCell ref="K10:K11"/>
    <mergeCell ref="M4:M5"/>
    <mergeCell ref="B1:K1"/>
    <mergeCell ref="C3:E3"/>
    <mergeCell ref="B4:B5"/>
    <mergeCell ref="C4:E5"/>
    <mergeCell ref="K4:K5"/>
  </mergeCells>
  <pageMargins left="0.25" right="0.25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6" sqref="C6:E7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57" customWidth="1"/>
    <col min="14" max="15" width="10.28515625" customWidth="1"/>
  </cols>
  <sheetData>
    <row r="1" spans="2:13" ht="36" customHeight="1" x14ac:dyDescent="0.25">
      <c r="B1" s="127" t="s">
        <v>23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30</v>
      </c>
      <c r="M1" s="31">
        <v>46031</v>
      </c>
    </row>
    <row r="2" spans="2:13" ht="15.75" thickBot="1" x14ac:dyDescent="0.3">
      <c r="M2"/>
    </row>
    <row r="3" spans="2:13" ht="30" customHeight="1" thickBot="1" x14ac:dyDescent="0.3">
      <c r="B3" s="52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52" t="s">
        <v>1</v>
      </c>
      <c r="L3" s="1" t="s">
        <v>3</v>
      </c>
      <c r="M3" s="21" t="s">
        <v>2</v>
      </c>
    </row>
    <row r="4" spans="2:13" ht="24" customHeight="1" x14ac:dyDescent="0.25">
      <c r="B4" s="131">
        <v>1</v>
      </c>
      <c r="C4" s="133" t="s">
        <v>16</v>
      </c>
      <c r="D4" s="134"/>
      <c r="E4" s="135"/>
      <c r="F4" s="10" t="s">
        <v>24</v>
      </c>
      <c r="G4" s="6" t="str">
        <f ca="1">INDIRECT(ADDRESS(23,6))&amp;":"&amp;INDIRECT(ADDRESS(23,7))</f>
        <v>13:4</v>
      </c>
      <c r="H4" s="6" t="str">
        <f ca="1">INDIRECT(ADDRESS(26,7))&amp;":"&amp;INDIRECT(ADDRESS(26,6))</f>
        <v>8:13</v>
      </c>
      <c r="I4" s="6" t="str">
        <f ca="1">INDIRECT(ADDRESS(30,6))&amp;":"&amp;INDIRECT(ADDRESS(30,7))</f>
        <v>13:6</v>
      </c>
      <c r="J4" s="20" t="str">
        <f ca="1">INDIRECT(ADDRESS(35,7))&amp;":"&amp;INDIRECT(ADDRESS(35,6))</f>
        <v>13:3</v>
      </c>
      <c r="K4" s="150">
        <f ca="1">IF(COUNT(F5:J5)=0,"",COUNTIF(F5:J5,"&gt;0")+0.5*COUNTIF(F5:J5,0))</f>
        <v>3</v>
      </c>
      <c r="L4" s="23">
        <v>4</v>
      </c>
      <c r="M4" s="148">
        <v>1</v>
      </c>
    </row>
    <row r="5" spans="2:13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COLUMN())))=1,"",INDIRECT(ADDRESS(23,6))-INDIRECT(ADDRESS(23,7)))</f>
        <v>9</v>
      </c>
      <c r="H5" s="16">
        <f ca="1">IF(LEN(INDIRECT(ADDRESS(ROW()-1, COLUMN())))=1,"",INDIRECT(ADDRESS(26,7))-INDIRECT(ADDRESS(26,6)))</f>
        <v>-5</v>
      </c>
      <c r="I5" s="16">
        <f ca="1">IF(LEN(INDIRECT(ADDRESS(ROW()-1, COLUMN())))=1,"",INDIRECT(ADDRESS(30,6))-INDIRECT(ADDRESS(30,7)))</f>
        <v>7</v>
      </c>
      <c r="J5" s="17">
        <f ca="1">IF(LEN(INDIRECT(ADDRESS(ROW()-1, COLUMN())))=1,"",INDIRECT(ADDRESS(35,7))-INDIRECT(ADDRESS(35,6)))</f>
        <v>10</v>
      </c>
      <c r="K5" s="151"/>
      <c r="L5" s="16">
        <f ca="1">IF(COUNT(F5:J5)=0,"",SUM(F5:J5))</f>
        <v>21</v>
      </c>
      <c r="M5" s="149"/>
    </row>
    <row r="6" spans="2:13" ht="24" customHeight="1" x14ac:dyDescent="0.25">
      <c r="B6" s="139">
        <v>2</v>
      </c>
      <c r="C6" s="152" t="s">
        <v>13</v>
      </c>
      <c r="D6" s="153"/>
      <c r="E6" s="154"/>
      <c r="F6" s="12" t="str">
        <f ca="1">INDIRECT(ADDRESS(23,7))&amp;":"&amp;INDIRECT(ADDRESS(23,6))</f>
        <v>4:13</v>
      </c>
      <c r="G6" s="8" t="s">
        <v>24</v>
      </c>
      <c r="H6" s="7" t="str">
        <f ca="1">INDIRECT(ADDRESS(31,6))&amp;":"&amp;INDIRECT(ADDRESS(31,7))</f>
        <v>13:7</v>
      </c>
      <c r="I6" s="7" t="str">
        <f ca="1">INDIRECT(ADDRESS(34,7))&amp;":"&amp;INDIRECT(ADDRESS(34,6))</f>
        <v>13:5</v>
      </c>
      <c r="J6" s="11" t="str">
        <f ca="1">INDIRECT(ADDRESS(18,6))&amp;":"&amp;INDIRECT(ADDRESS(18,7))</f>
        <v>13:10</v>
      </c>
      <c r="K6" s="151">
        <f ca="1">IF(COUNT(F7:J7)=0,"",COUNTIF(F7:J7,"&gt;0")+0.5*COUNTIF(F7:J7,0))</f>
        <v>3</v>
      </c>
      <c r="L6" s="16">
        <v>-3</v>
      </c>
      <c r="M6" s="149">
        <v>3</v>
      </c>
    </row>
    <row r="7" spans="2:13" ht="24" customHeight="1" x14ac:dyDescent="0.25">
      <c r="B7" s="132"/>
      <c r="C7" s="152"/>
      <c r="D7" s="153"/>
      <c r="E7" s="154"/>
      <c r="F7" s="22">
        <f ca="1">IF(LEN(INDIRECT(ADDRESS(ROW()-1, COLUMN())))=1,"",INDIRECT(ADDRESS(23,7))-INDIRECT(ADDRESS(23,6)))</f>
        <v>-9</v>
      </c>
      <c r="G7" s="14" t="s">
        <v>24</v>
      </c>
      <c r="H7" s="16">
        <f ca="1">IF(LEN(INDIRECT(ADDRESS(ROW()-1, COLUMN())))=1,"",INDIRECT(ADDRESS(31,6))-INDIRECT(ADDRESS(31,7)))</f>
        <v>6</v>
      </c>
      <c r="I7" s="16">
        <f ca="1">IF(LEN(INDIRECT(ADDRESS(ROW()-1, COLUMN())))=1,"",INDIRECT(ADDRESS(34,7))-INDIRECT(ADDRESS(34,6)))</f>
        <v>8</v>
      </c>
      <c r="J7" s="17">
        <f ca="1">IF(LEN(INDIRECT(ADDRESS(ROW()-1, COLUMN())))=1,"",INDIRECT(ADDRESS(18,6))-INDIRECT(ADDRESS(18,7)))</f>
        <v>3</v>
      </c>
      <c r="K7" s="151"/>
      <c r="L7" s="16">
        <f ca="1">IF(COUNT(F7:J7)=0,"",SUM(F7:J7))</f>
        <v>8</v>
      </c>
      <c r="M7" s="149"/>
    </row>
    <row r="8" spans="2:13" ht="24" customHeight="1" x14ac:dyDescent="0.25">
      <c r="B8" s="139">
        <v>3</v>
      </c>
      <c r="C8" s="152" t="s">
        <v>62</v>
      </c>
      <c r="D8" s="153"/>
      <c r="E8" s="154"/>
      <c r="F8" s="12" t="str">
        <f ca="1">INDIRECT(ADDRESS(26,6))&amp;":"&amp;INDIRECT(ADDRESS(26,7))</f>
        <v>13:8</v>
      </c>
      <c r="G8" s="7" t="str">
        <f ca="1">INDIRECT(ADDRESS(31,7))&amp;":"&amp;INDIRECT(ADDRESS(31,6))</f>
        <v>7:13</v>
      </c>
      <c r="H8" s="8" t="s">
        <v>24</v>
      </c>
      <c r="I8" s="7" t="str">
        <f ca="1">INDIRECT(ADDRESS(19,6))&amp;":"&amp;INDIRECT(ADDRESS(19,7))</f>
        <v>13:11</v>
      </c>
      <c r="J8" s="11" t="str">
        <f ca="1">INDIRECT(ADDRESS(22,7))&amp;":"&amp;INDIRECT(ADDRESS(22,6))</f>
        <v>13:11</v>
      </c>
      <c r="K8" s="151">
        <f ca="1">IF(COUNT(F9:J9)=0,"",COUNTIF(F9:J9,"&gt;0")+0.5*COUNTIF(F9:J9,0))</f>
        <v>3</v>
      </c>
      <c r="L8" s="16">
        <v>-1</v>
      </c>
      <c r="M8" s="149">
        <v>2</v>
      </c>
    </row>
    <row r="9" spans="2:13" ht="24" customHeight="1" x14ac:dyDescent="0.25">
      <c r="B9" s="132"/>
      <c r="C9" s="152"/>
      <c r="D9" s="153"/>
      <c r="E9" s="154"/>
      <c r="F9" s="22">
        <f ca="1">IF(LEN(INDIRECT(ADDRESS(ROW()-1, COLUMN())))=1,"",INDIRECT(ADDRESS(26,6))-INDIRECT(ADDRESS(26,7)))</f>
        <v>5</v>
      </c>
      <c r="G9" s="16">
        <f ca="1">IF(LEN(INDIRECT(ADDRESS(ROW()-1, COLUMN())))=1,"",INDIRECT(ADDRESS(31,7))-INDIRECT(ADDRESS(31,6)))</f>
        <v>-6</v>
      </c>
      <c r="H9" s="14" t="s">
        <v>24</v>
      </c>
      <c r="I9" s="16">
        <f ca="1">IF(LEN(INDIRECT(ADDRESS(ROW()-1, COLUMN())))=1,"",INDIRECT(ADDRESS(19,6))-INDIRECT(ADDRESS(19,7)))</f>
        <v>2</v>
      </c>
      <c r="J9" s="17">
        <f ca="1">IF(LEN(INDIRECT(ADDRESS(ROW()-1, COLUMN())))=1,"",INDIRECT(ADDRESS(22,7))-INDIRECT(ADDRESS(22,6)))</f>
        <v>2</v>
      </c>
      <c r="K9" s="151"/>
      <c r="L9" s="16">
        <f ca="1">IF(COUNT(F9:J9)=0,"",SUM(F9:J9))</f>
        <v>3</v>
      </c>
      <c r="M9" s="149"/>
    </row>
    <row r="10" spans="2:13" ht="24" customHeight="1" x14ac:dyDescent="0.25">
      <c r="B10" s="139">
        <v>4</v>
      </c>
      <c r="C10" s="140" t="s">
        <v>20</v>
      </c>
      <c r="D10" s="141"/>
      <c r="E10" s="142"/>
      <c r="F10" s="12" t="str">
        <f ca="1">INDIRECT(ADDRESS(30,7))&amp;":"&amp;INDIRECT(ADDRESS(30,6))</f>
        <v>6:13</v>
      </c>
      <c r="G10" s="7" t="str">
        <f ca="1">INDIRECT(ADDRESS(34,6))&amp;":"&amp;INDIRECT(ADDRESS(34,7))</f>
        <v>5:13</v>
      </c>
      <c r="H10" s="7" t="str">
        <f ca="1">INDIRECT(ADDRESS(19,7))&amp;":"&amp;INDIRECT(ADDRESS(19,6))</f>
        <v>11:13</v>
      </c>
      <c r="I10" s="8" t="s">
        <v>24</v>
      </c>
      <c r="J10" s="11" t="str">
        <f ca="1">INDIRECT(ADDRESS(27,6))&amp;":"&amp;INDIRECT(ADDRESS(27,7))</f>
        <v>13:3</v>
      </c>
      <c r="K10" s="151">
        <f ca="1">IF(COUNT(F11:J11)=0,"",COUNTIF(F11:J11,"&gt;0")+0.5*COUNTIF(F11:J11,0))</f>
        <v>1</v>
      </c>
      <c r="L10" s="16"/>
      <c r="M10" s="149">
        <v>4</v>
      </c>
    </row>
    <row r="11" spans="2:13" ht="24" customHeight="1" x14ac:dyDescent="0.25">
      <c r="B11" s="132"/>
      <c r="C11" s="140"/>
      <c r="D11" s="141"/>
      <c r="E11" s="142"/>
      <c r="F11" s="22">
        <f ca="1">IF(LEN(INDIRECT(ADDRESS(ROW()-1, COLUMN())))=1,"",INDIRECT(ADDRESS(30,7))-INDIRECT(ADDRESS(30,6)))</f>
        <v>-7</v>
      </c>
      <c r="G11" s="16">
        <f ca="1">IF(LEN(INDIRECT(ADDRESS(ROW()-1, COLUMN())))=1,"",INDIRECT(ADDRESS(34,6))-INDIRECT(ADDRESS(34,7)))</f>
        <v>-8</v>
      </c>
      <c r="H11" s="16">
        <f ca="1">IF(LEN(INDIRECT(ADDRESS(ROW()-1, COLUMN())))=1,"",INDIRECT(ADDRESS(19,7))-INDIRECT(ADDRESS(19,6)))</f>
        <v>-2</v>
      </c>
      <c r="I11" s="14" t="s">
        <v>24</v>
      </c>
      <c r="J11" s="17">
        <f ca="1">IF(LEN(INDIRECT(ADDRESS(ROW()-1, COLUMN())))=1,"",INDIRECT(ADDRESS(27,6))-INDIRECT(ADDRESS(27,7)))</f>
        <v>10</v>
      </c>
      <c r="K11" s="151"/>
      <c r="L11" s="16">
        <f ca="1">IF(COUNT(F11:J11)=0,"",SUM(F11:J11))</f>
        <v>-7</v>
      </c>
      <c r="M11" s="149"/>
    </row>
    <row r="12" spans="2:13" ht="24" customHeight="1" x14ac:dyDescent="0.25">
      <c r="B12" s="139">
        <v>5</v>
      </c>
      <c r="C12" s="140" t="s">
        <v>11</v>
      </c>
      <c r="D12" s="141"/>
      <c r="E12" s="142"/>
      <c r="F12" s="12" t="str">
        <f ca="1">INDIRECT(ADDRESS(35,6))&amp;":"&amp;INDIRECT(ADDRESS(35,7))</f>
        <v>3:13</v>
      </c>
      <c r="G12" s="7" t="str">
        <f ca="1">INDIRECT(ADDRESS(18,7))&amp;":"&amp;INDIRECT(ADDRESS(18,6))</f>
        <v>10:13</v>
      </c>
      <c r="H12" s="7" t="str">
        <f ca="1">INDIRECT(ADDRESS(22,6))&amp;":"&amp;INDIRECT(ADDRESS(22,7))</f>
        <v>11:13</v>
      </c>
      <c r="I12" s="7" t="str">
        <f ca="1">INDIRECT(ADDRESS(27,7))&amp;":"&amp;INDIRECT(ADDRESS(27,6))</f>
        <v>3:13</v>
      </c>
      <c r="J12" s="34" t="s">
        <v>24</v>
      </c>
      <c r="K12" s="151">
        <f ca="1">IF(COUNT(F13:J13)=0,"",COUNTIF(F13:J13,"&gt;0")+0.5*COUNTIF(F13:J13,0))</f>
        <v>0</v>
      </c>
      <c r="L12" s="16"/>
      <c r="M12" s="149">
        <v>5</v>
      </c>
    </row>
    <row r="13" spans="2:13" ht="24" customHeight="1" thickBot="1" x14ac:dyDescent="0.3">
      <c r="B13" s="143"/>
      <c r="C13" s="144"/>
      <c r="D13" s="145"/>
      <c r="E13" s="146"/>
      <c r="F13" s="19">
        <f ca="1">IF(LEN(INDIRECT(ADDRESS(ROW()-1, COLUMN())))=1,"",INDIRECT(ADDRESS(35,6))-INDIRECT(ADDRESS(35,7)))</f>
        <v>-10</v>
      </c>
      <c r="G13" s="18">
        <f ca="1">IF(LEN(INDIRECT(ADDRESS(ROW()-1, COLUMN())))=1,"",INDIRECT(ADDRESS(18,7))-INDIRECT(ADDRESS(18,6)))</f>
        <v>-3</v>
      </c>
      <c r="H13" s="18">
        <f ca="1">IF(LEN(INDIRECT(ADDRESS(ROW()-1, COLUMN())))=1,"",INDIRECT(ADDRESS(22,6))-INDIRECT(ADDRESS(22,7)))</f>
        <v>-2</v>
      </c>
      <c r="I13" s="18">
        <f ca="1">IF(LEN(INDIRECT(ADDRESS(ROW()-1, COLUMN())))=1,"",INDIRECT(ADDRESS(27,7))-INDIRECT(ADDRESS(27,6)))</f>
        <v>-10</v>
      </c>
      <c r="J13" s="15" t="s">
        <v>24</v>
      </c>
      <c r="K13" s="156"/>
      <c r="L13" s="18">
        <f ca="1">IF(COUNT(F13:J13)=0,"",SUM(F13:J13))</f>
        <v>-25</v>
      </c>
      <c r="M13" s="155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30" customHeight="1" thickBot="1" x14ac:dyDescent="0.4">
      <c r="A17" s="35"/>
      <c r="B17" s="147" t="s">
        <v>4</v>
      </c>
      <c r="C17" s="147"/>
      <c r="D17" s="147"/>
      <c r="E17" s="147"/>
      <c r="F17" s="147"/>
      <c r="G17" s="147"/>
      <c r="H17" s="147"/>
      <c r="I17" s="147"/>
      <c r="J17" s="147"/>
      <c r="K17" s="147"/>
      <c r="M17" s="56"/>
    </row>
    <row r="18" spans="1:13" s="36" customFormat="1" ht="30" customHeight="1" thickBot="1" x14ac:dyDescent="0.4">
      <c r="A18" s="35"/>
      <c r="B18" s="37">
        <v>2</v>
      </c>
      <c r="C18" s="124" t="str">
        <f ca="1">IF(ISBLANK(INDIRECT(ADDRESS(B18*2+2,3))),"",INDIRECT(ADDRESS(B18*2+2,3)))</f>
        <v>Иванов Юрий</v>
      </c>
      <c r="D18" s="124"/>
      <c r="E18" s="125"/>
      <c r="F18" s="38">
        <v>13</v>
      </c>
      <c r="G18" s="39">
        <v>10</v>
      </c>
      <c r="H18" s="126" t="str">
        <f ca="1">IF(ISBLANK(INDIRECT(ADDRESS(K18*2+2,3))),"",INDIRECT(ADDRESS(K18*2+2,3)))</f>
        <v>Гедройц-Юраго Алексей</v>
      </c>
      <c r="I18" s="124"/>
      <c r="J18" s="124"/>
      <c r="K18" s="37">
        <v>5</v>
      </c>
      <c r="L18" s="40" t="s">
        <v>10</v>
      </c>
      <c r="M18" s="53"/>
    </row>
    <row r="19" spans="1:13" s="36" customFormat="1" ht="30" customHeight="1" thickBot="1" x14ac:dyDescent="0.4">
      <c r="A19" s="35"/>
      <c r="B19" s="37">
        <v>3</v>
      </c>
      <c r="C19" s="124" t="str">
        <f ca="1">IF(ISBLANK(INDIRECT(ADDRESS(B19*2+2,3))),"",INDIRECT(ADDRESS(B19*2+2,3)))</f>
        <v>Большаков Михаил</v>
      </c>
      <c r="D19" s="124"/>
      <c r="E19" s="125"/>
      <c r="F19" s="38">
        <v>13</v>
      </c>
      <c r="G19" s="39">
        <v>11</v>
      </c>
      <c r="H19" s="126" t="str">
        <f ca="1">IF(ISBLANK(INDIRECT(ADDRESS(K19*2+2,3))),"",INDIRECT(ADDRESS(K19*2+2,3)))</f>
        <v>Новиков Андрей</v>
      </c>
      <c r="I19" s="124"/>
      <c r="J19" s="124"/>
      <c r="K19" s="37">
        <v>4</v>
      </c>
      <c r="L19" s="40" t="s">
        <v>10</v>
      </c>
      <c r="M19" s="53"/>
    </row>
    <row r="20" spans="1:13" s="36" customFormat="1" ht="30" customHeight="1" x14ac:dyDescent="0.35">
      <c r="A20" s="35"/>
      <c r="M20" s="41"/>
    </row>
    <row r="21" spans="1:13" s="36" customFormat="1" ht="30" customHeight="1" thickBot="1" x14ac:dyDescent="0.4">
      <c r="A21" s="35"/>
      <c r="B21" s="147" t="s">
        <v>5</v>
      </c>
      <c r="C21" s="147"/>
      <c r="D21" s="147"/>
      <c r="E21" s="147"/>
      <c r="F21" s="147"/>
      <c r="G21" s="147"/>
      <c r="H21" s="147"/>
      <c r="I21" s="147"/>
      <c r="J21" s="147"/>
      <c r="K21" s="147"/>
      <c r="M21" s="41"/>
    </row>
    <row r="22" spans="1:13" s="36" customFormat="1" ht="30" customHeight="1" thickBot="1" x14ac:dyDescent="0.4">
      <c r="A22" s="35"/>
      <c r="B22" s="37">
        <v>5</v>
      </c>
      <c r="C22" s="124" t="str">
        <f ca="1">IF(ISBLANK(INDIRECT(ADDRESS(B22*2+2,3))),"",INDIRECT(ADDRESS(B22*2+2,3)))</f>
        <v>Гедройц-Юраго Алексей</v>
      </c>
      <c r="D22" s="124"/>
      <c r="E22" s="125"/>
      <c r="F22" s="38">
        <v>11</v>
      </c>
      <c r="G22" s="39">
        <v>13</v>
      </c>
      <c r="H22" s="126" t="str">
        <f ca="1">IF(ISBLANK(INDIRECT(ADDRESS(K22*2+2,3))),"",INDIRECT(ADDRESS(K22*2+2,3)))</f>
        <v>Большаков Михаил</v>
      </c>
      <c r="I22" s="124"/>
      <c r="J22" s="124"/>
      <c r="K22" s="37">
        <v>3</v>
      </c>
      <c r="L22" s="40" t="s">
        <v>10</v>
      </c>
      <c r="M22" s="53"/>
    </row>
    <row r="23" spans="1:13" s="36" customFormat="1" ht="30" customHeight="1" thickBot="1" x14ac:dyDescent="0.4">
      <c r="A23" s="35"/>
      <c r="B23" s="37">
        <v>1</v>
      </c>
      <c r="C23" s="124" t="str">
        <f ca="1">IF(ISBLANK(INDIRECT(ADDRESS(B23*2+2,3))),"",INDIRECT(ADDRESS(B23*2+2,3)))</f>
        <v>Попов Виктор</v>
      </c>
      <c r="D23" s="124"/>
      <c r="E23" s="125"/>
      <c r="F23" s="38">
        <v>13</v>
      </c>
      <c r="G23" s="39">
        <v>4</v>
      </c>
      <c r="H23" s="126" t="str">
        <f ca="1">IF(ISBLANK(INDIRECT(ADDRESS(K23*2+2,3))),"",INDIRECT(ADDRESS(K23*2+2,3)))</f>
        <v>Иванов Юрий</v>
      </c>
      <c r="I23" s="124"/>
      <c r="J23" s="124"/>
      <c r="K23" s="37">
        <v>2</v>
      </c>
      <c r="L23" s="40" t="s">
        <v>10</v>
      </c>
      <c r="M23" s="53"/>
    </row>
    <row r="24" spans="1:13" s="36" customFormat="1" ht="30" customHeight="1" x14ac:dyDescent="0.35">
      <c r="A24" s="35"/>
      <c r="M24" s="41"/>
    </row>
    <row r="25" spans="1:13" s="36" customFormat="1" ht="30" customHeight="1" thickBot="1" x14ac:dyDescent="0.4">
      <c r="A25" s="35"/>
      <c r="B25" s="147" t="s">
        <v>6</v>
      </c>
      <c r="C25" s="147"/>
      <c r="D25" s="147"/>
      <c r="E25" s="147"/>
      <c r="F25" s="147"/>
      <c r="G25" s="147"/>
      <c r="H25" s="147"/>
      <c r="I25" s="147"/>
      <c r="J25" s="147"/>
      <c r="K25" s="147"/>
      <c r="M25" s="41"/>
    </row>
    <row r="26" spans="1:13" s="36" customFormat="1" ht="30" customHeight="1" thickBot="1" x14ac:dyDescent="0.4">
      <c r="A26" s="35"/>
      <c r="B26" s="37">
        <v>3</v>
      </c>
      <c r="C26" s="124" t="str">
        <f ca="1">IF(ISBLANK(INDIRECT(ADDRESS(B26*2+2,3))),"",INDIRECT(ADDRESS(B26*2+2,3)))</f>
        <v>Большаков Михаил</v>
      </c>
      <c r="D26" s="124"/>
      <c r="E26" s="125"/>
      <c r="F26" s="38">
        <v>13</v>
      </c>
      <c r="G26" s="39">
        <v>8</v>
      </c>
      <c r="H26" s="126" t="str">
        <f ca="1">IF(ISBLANK(INDIRECT(ADDRESS(K26*2+2,3))),"",INDIRECT(ADDRESS(K26*2+2,3)))</f>
        <v>Попов Виктор</v>
      </c>
      <c r="I26" s="124"/>
      <c r="J26" s="124"/>
      <c r="K26" s="37">
        <v>1</v>
      </c>
      <c r="L26" s="40" t="s">
        <v>10</v>
      </c>
      <c r="M26" s="53"/>
    </row>
    <row r="27" spans="1:13" s="36" customFormat="1" ht="30" customHeight="1" thickBot="1" x14ac:dyDescent="0.4">
      <c r="A27" s="35"/>
      <c r="B27" s="37">
        <v>4</v>
      </c>
      <c r="C27" s="124" t="str">
        <f ca="1">IF(ISBLANK(INDIRECT(ADDRESS(B27*2+2,3))),"",INDIRECT(ADDRESS(B27*2+2,3)))</f>
        <v>Новиков Андрей</v>
      </c>
      <c r="D27" s="124"/>
      <c r="E27" s="125"/>
      <c r="F27" s="38">
        <v>13</v>
      </c>
      <c r="G27" s="39">
        <v>3</v>
      </c>
      <c r="H27" s="126" t="str">
        <f ca="1">IF(ISBLANK(INDIRECT(ADDRESS(K27*2+2,3))),"",INDIRECT(ADDRESS(K27*2+2,3)))</f>
        <v>Гедройц-Юраго Алексей</v>
      </c>
      <c r="I27" s="124"/>
      <c r="J27" s="124"/>
      <c r="K27" s="37">
        <v>5</v>
      </c>
      <c r="L27" s="40" t="s">
        <v>10</v>
      </c>
      <c r="M27" s="53"/>
    </row>
    <row r="28" spans="1:13" s="36" customFormat="1" ht="30" customHeight="1" x14ac:dyDescent="0.35">
      <c r="A28" s="35"/>
      <c r="M28" s="41"/>
    </row>
    <row r="29" spans="1:13" s="36" customFormat="1" ht="30" customHeight="1" thickBot="1" x14ac:dyDescent="0.4">
      <c r="A29" s="35"/>
      <c r="B29" s="147" t="s">
        <v>7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s="36" customFormat="1" ht="30" customHeight="1" thickBot="1" x14ac:dyDescent="0.4">
      <c r="A30" s="35"/>
      <c r="B30" s="37">
        <v>1</v>
      </c>
      <c r="C30" s="124" t="str">
        <f ca="1">IF(ISBLANK(INDIRECT(ADDRESS(B30*2+2,3))),"",INDIRECT(ADDRESS(B30*2+2,3)))</f>
        <v>Попов Виктор</v>
      </c>
      <c r="D30" s="124"/>
      <c r="E30" s="125"/>
      <c r="F30" s="38">
        <v>13</v>
      </c>
      <c r="G30" s="39">
        <v>6</v>
      </c>
      <c r="H30" s="126" t="str">
        <f ca="1">IF(ISBLANK(INDIRECT(ADDRESS(K30*2+2,3))),"",INDIRECT(ADDRESS(K30*2+2,3)))</f>
        <v>Новиков Андрей</v>
      </c>
      <c r="I30" s="124"/>
      <c r="J30" s="124"/>
      <c r="K30" s="37">
        <v>4</v>
      </c>
      <c r="L30" s="40" t="s">
        <v>10</v>
      </c>
      <c r="M30" s="53"/>
    </row>
    <row r="31" spans="1:13" s="36" customFormat="1" ht="30" customHeight="1" thickBot="1" x14ac:dyDescent="0.4">
      <c r="A31" s="35"/>
      <c r="B31" s="37">
        <v>2</v>
      </c>
      <c r="C31" s="124" t="str">
        <f ca="1">IF(ISBLANK(INDIRECT(ADDRESS(B31*2+2,3))),"",INDIRECT(ADDRESS(B31*2+2,3)))</f>
        <v>Иванов Юрий</v>
      </c>
      <c r="D31" s="124"/>
      <c r="E31" s="125"/>
      <c r="F31" s="38">
        <v>13</v>
      </c>
      <c r="G31" s="39">
        <v>7</v>
      </c>
      <c r="H31" s="126" t="str">
        <f ca="1">IF(ISBLANK(INDIRECT(ADDRESS(K31*2+2,3))),"",INDIRECT(ADDRESS(K31*2+2,3)))</f>
        <v>Большаков Михаил</v>
      </c>
      <c r="I31" s="124"/>
      <c r="J31" s="124"/>
      <c r="K31" s="37">
        <v>3</v>
      </c>
      <c r="L31" s="40" t="s">
        <v>10</v>
      </c>
      <c r="M31" s="53"/>
    </row>
    <row r="32" spans="1:13" s="36" customFormat="1" ht="30" customHeight="1" x14ac:dyDescent="0.35">
      <c r="A32" s="35"/>
      <c r="M32" s="41"/>
    </row>
    <row r="33" spans="1:13" s="36" customFormat="1" ht="30" customHeight="1" thickBot="1" x14ac:dyDescent="0.4">
      <c r="A33" s="35"/>
      <c r="B33" s="147" t="s">
        <v>8</v>
      </c>
      <c r="C33" s="147"/>
      <c r="D33" s="147"/>
      <c r="E33" s="147"/>
      <c r="F33" s="147"/>
      <c r="G33" s="147"/>
      <c r="H33" s="147"/>
      <c r="I33" s="147"/>
      <c r="J33" s="147"/>
      <c r="K33" s="147"/>
      <c r="M33" s="41"/>
    </row>
    <row r="34" spans="1:13" s="36" customFormat="1" ht="30" customHeight="1" thickBot="1" x14ac:dyDescent="0.4">
      <c r="A34" s="35"/>
      <c r="B34" s="37">
        <v>4</v>
      </c>
      <c r="C34" s="124" t="str">
        <f ca="1">IF(ISBLANK(INDIRECT(ADDRESS(B34*2+2,3))),"",INDIRECT(ADDRESS(B34*2+2,3)))</f>
        <v>Новиков Андрей</v>
      </c>
      <c r="D34" s="124"/>
      <c r="E34" s="125"/>
      <c r="F34" s="38">
        <v>5</v>
      </c>
      <c r="G34" s="39">
        <v>13</v>
      </c>
      <c r="H34" s="126" t="str">
        <f ca="1">IF(ISBLANK(INDIRECT(ADDRESS(K34*2+2,3))),"",INDIRECT(ADDRESS(K34*2+2,3)))</f>
        <v>Иванов Юрий</v>
      </c>
      <c r="I34" s="124"/>
      <c r="J34" s="124"/>
      <c r="K34" s="37">
        <v>2</v>
      </c>
      <c r="L34" s="40" t="s">
        <v>10</v>
      </c>
      <c r="M34" s="53"/>
    </row>
    <row r="35" spans="1:13" s="36" customFormat="1" ht="30" customHeight="1" thickBot="1" x14ac:dyDescent="0.4">
      <c r="A35" s="35"/>
      <c r="B35" s="37">
        <v>5</v>
      </c>
      <c r="C35" s="124" t="str">
        <f ca="1">IF(ISBLANK(INDIRECT(ADDRESS(B35*2+2,3))),"",INDIRECT(ADDRESS(B35*2+2,3)))</f>
        <v>Гедройц-Юраго Алексей</v>
      </c>
      <c r="D35" s="124"/>
      <c r="E35" s="125"/>
      <c r="F35" s="38">
        <v>3</v>
      </c>
      <c r="G35" s="39">
        <v>13</v>
      </c>
      <c r="H35" s="126" t="str">
        <f ca="1">IF(ISBLANK(INDIRECT(ADDRESS(K35*2+2,3))),"",INDIRECT(ADDRESS(K35*2+2,3)))</f>
        <v>Попов Виктор</v>
      </c>
      <c r="I35" s="124"/>
      <c r="J35" s="124"/>
      <c r="K35" s="37">
        <v>1</v>
      </c>
      <c r="L35" s="40" t="s">
        <v>10</v>
      </c>
      <c r="M35" s="53"/>
    </row>
  </sheetData>
  <mergeCells count="47">
    <mergeCell ref="B29:K29"/>
    <mergeCell ref="C30:E30"/>
    <mergeCell ref="H30:J30"/>
    <mergeCell ref="C35:E35"/>
    <mergeCell ref="H35:J35"/>
    <mergeCell ref="C31:E31"/>
    <mergeCell ref="H31:J31"/>
    <mergeCell ref="C34:E34"/>
    <mergeCell ref="H34:J34"/>
    <mergeCell ref="B33:K33"/>
    <mergeCell ref="M12:M13"/>
    <mergeCell ref="K12:K13"/>
    <mergeCell ref="B21:K21"/>
    <mergeCell ref="B17:K17"/>
    <mergeCell ref="C18:E18"/>
    <mergeCell ref="H18:J18"/>
    <mergeCell ref="C19:E19"/>
    <mergeCell ref="H19:J19"/>
    <mergeCell ref="B12:B13"/>
    <mergeCell ref="C12:E13"/>
    <mergeCell ref="M8:M9"/>
    <mergeCell ref="B10:B11"/>
    <mergeCell ref="C10:E11"/>
    <mergeCell ref="M10:M11"/>
    <mergeCell ref="K8:K9"/>
    <mergeCell ref="K10:K11"/>
    <mergeCell ref="M4:M5"/>
    <mergeCell ref="K4:K5"/>
    <mergeCell ref="B6:B7"/>
    <mergeCell ref="C6:E7"/>
    <mergeCell ref="M6:M7"/>
    <mergeCell ref="K6:K7"/>
    <mergeCell ref="B1:K1"/>
    <mergeCell ref="C3:E3"/>
    <mergeCell ref="B4:B5"/>
    <mergeCell ref="C4:E5"/>
    <mergeCell ref="B8:B9"/>
    <mergeCell ref="C8:E9"/>
    <mergeCell ref="C22:E22"/>
    <mergeCell ref="H22:J22"/>
    <mergeCell ref="C23:E23"/>
    <mergeCell ref="H23:J23"/>
    <mergeCell ref="C27:E27"/>
    <mergeCell ref="H27:J27"/>
    <mergeCell ref="B25:K25"/>
    <mergeCell ref="C26:E26"/>
    <mergeCell ref="H26:J2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6" sqref="C6:E7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27" t="s">
        <v>197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18</v>
      </c>
      <c r="M1"/>
      <c r="N1" s="31">
        <v>46046</v>
      </c>
    </row>
    <row r="2" spans="2:14" ht="15.75" thickBot="1" x14ac:dyDescent="0.3">
      <c r="M2"/>
    </row>
    <row r="3" spans="2:14" ht="30" customHeight="1" thickBot="1" x14ac:dyDescent="0.3">
      <c r="B3" s="90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31">
        <v>1</v>
      </c>
      <c r="C4" s="133" t="s">
        <v>199</v>
      </c>
      <c r="D4" s="134"/>
      <c r="E4" s="135"/>
      <c r="F4" s="10" t="s">
        <v>24</v>
      </c>
      <c r="G4" s="6" t="str">
        <f ca="1">INDIRECT(ADDRESS(27,6))&amp;":"&amp;INDIRECT(ADDRESS(27,7))</f>
        <v>11:13</v>
      </c>
      <c r="H4" s="6" t="str">
        <f ca="1">INDIRECT(ADDRESS(31,7))&amp;":"&amp;INDIRECT(ADDRESS(31,6))</f>
        <v>13:8</v>
      </c>
      <c r="I4" s="6" t="str">
        <f ca="1">INDIRECT(ADDRESS(36,6))&amp;":"&amp;INDIRECT(ADDRESS(36,7))</f>
        <v>13:10</v>
      </c>
      <c r="J4" s="6" t="str">
        <f ca="1">INDIRECT(ADDRESS(42,7))&amp;":"&amp;INDIRECT(ADDRESS(42,6))</f>
        <v>13:9</v>
      </c>
      <c r="K4" s="20" t="str">
        <f ca="1">INDIRECT(ADDRESS(20,6))&amp;":"&amp;INDIRECT(ADDRESS(20,7))</f>
        <v>13:7</v>
      </c>
      <c r="L4" s="244">
        <f ca="1">IF(COUNT(F5:K5)=0,"",COUNTIF(F5:K5,"&gt;0")+0.5*COUNTIF(F5:K5,0))</f>
        <v>4</v>
      </c>
      <c r="M4" s="23"/>
      <c r="N4" s="219">
        <v>1</v>
      </c>
    </row>
    <row r="5" spans="2:14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COLUMN())))=1,"",INDIRECT(ADDRESS(27,6))-INDIRECT(ADDRESS(27,7)))</f>
        <v>-2</v>
      </c>
      <c r="H5" s="16">
        <f ca="1">IF(LEN(INDIRECT(ADDRESS(ROW()-1, COLUMN())))=1,"",INDIRECT(ADDRESS(31,7))-INDIRECT(ADDRESS(31,6)))</f>
        <v>5</v>
      </c>
      <c r="I5" s="16">
        <f ca="1">IF(LEN(INDIRECT(ADDRESS(ROW()-1, COLUMN())))=1,"",INDIRECT(ADDRESS(36,6))-INDIRECT(ADDRESS(36,7)))</f>
        <v>3</v>
      </c>
      <c r="J5" s="16">
        <f ca="1">IF(LEN(INDIRECT(ADDRESS(ROW()-1, COLUMN())))=1,"",INDIRECT(ADDRESS(42,7))-INDIRECT(ADDRESS(42,6)))</f>
        <v>4</v>
      </c>
      <c r="K5" s="17">
        <f ca="1">IF(LEN(INDIRECT(ADDRESS(ROW()-1, COLUMN())))=1,"",INDIRECT(ADDRESS(20,6))-INDIRECT(ADDRESS(20,7)))</f>
        <v>6</v>
      </c>
      <c r="L5" s="245"/>
      <c r="M5" s="16">
        <f ca="1">IF(COUNT(F5:K5)=0,"",SUM(F5:K5))</f>
        <v>16</v>
      </c>
      <c r="N5" s="221"/>
    </row>
    <row r="6" spans="2:14" ht="24" customHeight="1" x14ac:dyDescent="0.25">
      <c r="B6" s="139">
        <v>2</v>
      </c>
      <c r="C6" s="152" t="s">
        <v>198</v>
      </c>
      <c r="D6" s="153"/>
      <c r="E6" s="154"/>
      <c r="F6" s="12" t="str">
        <f ca="1">INDIRECT(ADDRESS(27,7))&amp;":"&amp;INDIRECT(ADDRESS(27,6))</f>
        <v>13:11</v>
      </c>
      <c r="G6" s="8" t="s">
        <v>24</v>
      </c>
      <c r="H6" s="7" t="str">
        <f ca="1">INDIRECT(ADDRESS(37,6))&amp;":"&amp;INDIRECT(ADDRESS(37,7))</f>
        <v>13:7</v>
      </c>
      <c r="I6" s="7" t="str">
        <f ca="1">INDIRECT(ADDRESS(41,7))&amp;":"&amp;INDIRECT(ADDRESS(41,6))</f>
        <v>12:13</v>
      </c>
      <c r="J6" s="7" t="str">
        <f ca="1">INDIRECT(ADDRESS(21,6))&amp;":"&amp;INDIRECT(ADDRESS(21,7))</f>
        <v>11:12</v>
      </c>
      <c r="K6" s="11" t="str">
        <f ca="1">INDIRECT(ADDRESS(30,6))&amp;":"&amp;INDIRECT(ADDRESS(30,7))</f>
        <v>13:2</v>
      </c>
      <c r="L6" s="245">
        <f ca="1">IF(COUNT(F7:K7)=0,"",COUNTIF(F7:K7,"&gt;0")+0.5*COUNTIF(F7:K7,0))</f>
        <v>3</v>
      </c>
      <c r="M6" s="16"/>
      <c r="N6" s="246">
        <v>3</v>
      </c>
    </row>
    <row r="7" spans="2:14" ht="24" customHeight="1" x14ac:dyDescent="0.25">
      <c r="B7" s="132"/>
      <c r="C7" s="152"/>
      <c r="D7" s="153"/>
      <c r="E7" s="154"/>
      <c r="F7" s="22">
        <f ca="1">IF(LEN(INDIRECT(ADDRESS(ROW()-1, COLUMN())))=1,"",INDIRECT(ADDRESS(27,7))-INDIRECT(ADDRESS(27,6)))</f>
        <v>2</v>
      </c>
      <c r="G7" s="14" t="s">
        <v>24</v>
      </c>
      <c r="H7" s="16">
        <f ca="1">IF(LEN(INDIRECT(ADDRESS(ROW()-1, COLUMN())))=1,"",INDIRECT(ADDRESS(37,6))-INDIRECT(ADDRESS(37,7)))</f>
        <v>6</v>
      </c>
      <c r="I7" s="16">
        <f ca="1">IF(LEN(INDIRECT(ADDRESS(ROW()-1, COLUMN())))=1,"",INDIRECT(ADDRESS(41,7))-INDIRECT(ADDRESS(41,6)))</f>
        <v>-1</v>
      </c>
      <c r="J7" s="16">
        <f ca="1">IF(LEN(INDIRECT(ADDRESS(ROW()-1, COLUMN())))=1,"",INDIRECT(ADDRESS(21,6))-INDIRECT(ADDRESS(21,7)))</f>
        <v>-1</v>
      </c>
      <c r="K7" s="17">
        <f ca="1">IF(LEN(INDIRECT(ADDRESS(ROW()-1, COLUMN())))=1,"",INDIRECT(ADDRESS(30,6))-INDIRECT(ADDRESS(30,7)))</f>
        <v>11</v>
      </c>
      <c r="L7" s="245"/>
      <c r="M7" s="16">
        <f ca="1">IF(COUNT(F7:K7)=0,"",SUM(F7:K7))</f>
        <v>17</v>
      </c>
      <c r="N7" s="221"/>
    </row>
    <row r="8" spans="2:14" ht="24" customHeight="1" x14ac:dyDescent="0.25">
      <c r="B8" s="139">
        <v>3</v>
      </c>
      <c r="C8" s="140" t="s">
        <v>200</v>
      </c>
      <c r="D8" s="141"/>
      <c r="E8" s="142"/>
      <c r="F8" s="12" t="str">
        <f ca="1">INDIRECT(ADDRESS(31,6))&amp;":"&amp;INDIRECT(ADDRESS(31,7))</f>
        <v>8:13</v>
      </c>
      <c r="G8" s="7" t="str">
        <f ca="1">INDIRECT(ADDRESS(37,7))&amp;":"&amp;INDIRECT(ADDRESS(37,6))</f>
        <v>7:13</v>
      </c>
      <c r="H8" s="8" t="s">
        <v>24</v>
      </c>
      <c r="I8" s="7" t="str">
        <f ca="1">INDIRECT(ADDRESS(22,6))&amp;":"&amp;INDIRECT(ADDRESS(22,7))</f>
        <v>13:6</v>
      </c>
      <c r="J8" s="7" t="str">
        <f ca="1">INDIRECT(ADDRESS(26,7))&amp;":"&amp;INDIRECT(ADDRESS(26,6))</f>
        <v>13:7</v>
      </c>
      <c r="K8" s="11" t="str">
        <f ca="1">INDIRECT(ADDRESS(40,6))&amp;":"&amp;INDIRECT(ADDRESS(40,7))</f>
        <v>5:13</v>
      </c>
      <c r="L8" s="245">
        <f ca="1">IF(COUNT(F9:K9)=0,"",COUNTIF(F9:K9,"&gt;0")+0.5*COUNTIF(F9:K9,0))</f>
        <v>2</v>
      </c>
      <c r="M8" s="16"/>
      <c r="N8" s="246">
        <v>5</v>
      </c>
    </row>
    <row r="9" spans="2:14" ht="24" customHeight="1" x14ac:dyDescent="0.25">
      <c r="B9" s="132"/>
      <c r="C9" s="140"/>
      <c r="D9" s="141"/>
      <c r="E9" s="142"/>
      <c r="F9" s="22">
        <f ca="1">IF(LEN(INDIRECT(ADDRESS(ROW()-1, COLUMN())))=1,"",INDIRECT(ADDRESS(31,6))-INDIRECT(ADDRESS(31,7)))</f>
        <v>-5</v>
      </c>
      <c r="G9" s="16">
        <f ca="1">IF(LEN(INDIRECT(ADDRESS(ROW()-1, COLUMN())))=1,"",INDIRECT(ADDRESS(37,7))-INDIRECT(ADDRESS(37,6)))</f>
        <v>-6</v>
      </c>
      <c r="H9" s="14" t="s">
        <v>24</v>
      </c>
      <c r="I9" s="16">
        <f ca="1">IF(LEN(INDIRECT(ADDRESS(ROW()-1, COLUMN())))=1,"",INDIRECT(ADDRESS(22,6))-INDIRECT(ADDRESS(22,7)))</f>
        <v>7</v>
      </c>
      <c r="J9" s="16">
        <f ca="1">IF(LEN(INDIRECT(ADDRESS(ROW()-1, COLUMN())))=1,"",INDIRECT(ADDRESS(26,7))-INDIRECT(ADDRESS(26,6)))</f>
        <v>6</v>
      </c>
      <c r="K9" s="17">
        <f ca="1">IF(LEN(INDIRECT(ADDRESS(ROW()-1, COLUMN())))=1,"",INDIRECT(ADDRESS(40,6))-INDIRECT(ADDRESS(40,7)))</f>
        <v>-8</v>
      </c>
      <c r="L9" s="245"/>
      <c r="M9" s="16">
        <f ca="1">IF(COUNT(F9:K9)=0,"",SUM(F9:K9))</f>
        <v>-6</v>
      </c>
      <c r="N9" s="221"/>
    </row>
    <row r="10" spans="2:14" ht="24" customHeight="1" x14ac:dyDescent="0.25">
      <c r="B10" s="139">
        <v>4</v>
      </c>
      <c r="C10" s="136" t="s">
        <v>201</v>
      </c>
      <c r="D10" s="137"/>
      <c r="E10" s="138"/>
      <c r="F10" s="12" t="str">
        <f ca="1">INDIRECT(ADDRESS(36,7))&amp;":"&amp;INDIRECT(ADDRESS(36,6))</f>
        <v>10:13</v>
      </c>
      <c r="G10" s="7" t="str">
        <f ca="1">INDIRECT(ADDRESS(41,6))&amp;":"&amp;INDIRECT(ADDRESS(41,7))</f>
        <v>13:12</v>
      </c>
      <c r="H10" s="7" t="str">
        <f ca="1">INDIRECT(ADDRESS(22,7))&amp;":"&amp;INDIRECT(ADDRESS(22,6))</f>
        <v>6:13</v>
      </c>
      <c r="I10" s="8" t="s">
        <v>24</v>
      </c>
      <c r="J10" s="7" t="str">
        <f ca="1">INDIRECT(ADDRESS(32,6))&amp;":"&amp;INDIRECT(ADDRESS(32,7))</f>
        <v>13:6</v>
      </c>
      <c r="K10" s="11" t="str">
        <f ca="1">INDIRECT(ADDRESS(25,7))&amp;":"&amp;INDIRECT(ADDRESS(25,6))</f>
        <v>13:6</v>
      </c>
      <c r="L10" s="245">
        <f ca="1">IF(COUNT(F11:K11)=0,"",COUNTIF(F11:K11,"&gt;0")+0.5*COUNTIF(F11:K11,0))</f>
        <v>3</v>
      </c>
      <c r="M10" s="16"/>
      <c r="N10" s="246">
        <v>2</v>
      </c>
    </row>
    <row r="11" spans="2:14" ht="24" customHeight="1" x14ac:dyDescent="0.25">
      <c r="B11" s="132"/>
      <c r="C11" s="136"/>
      <c r="D11" s="137"/>
      <c r="E11" s="138"/>
      <c r="F11" s="22">
        <f ca="1">IF(LEN(INDIRECT(ADDRESS(ROW()-1, COLUMN())))=1,"",INDIRECT(ADDRESS(36,7))-INDIRECT(ADDRESS(36,6)))</f>
        <v>-3</v>
      </c>
      <c r="G11" s="16">
        <f ca="1">IF(LEN(INDIRECT(ADDRESS(ROW()-1, COLUMN())))=1,"",INDIRECT(ADDRESS(41,6))-INDIRECT(ADDRESS(41,7)))</f>
        <v>1</v>
      </c>
      <c r="H11" s="16">
        <f ca="1">IF(LEN(INDIRECT(ADDRESS(ROW()-1, COLUMN())))=1,"",INDIRECT(ADDRESS(22,7))-INDIRECT(ADDRESS(22,6)))</f>
        <v>-7</v>
      </c>
      <c r="I11" s="14" t="s">
        <v>24</v>
      </c>
      <c r="J11" s="16">
        <f ca="1">IF(LEN(INDIRECT(ADDRESS(ROW()-1, COLUMN())))=1,"",INDIRECT(ADDRESS(32,6))-INDIRECT(ADDRESS(32,7)))</f>
        <v>7</v>
      </c>
      <c r="K11" s="17">
        <f ca="1">IF(LEN(INDIRECT(ADDRESS(ROW()-1, COLUMN())))=1,"",INDIRECT(ADDRESS(25,7))-INDIRECT(ADDRESS(25,6)))</f>
        <v>7</v>
      </c>
      <c r="L11" s="245"/>
      <c r="M11" s="16">
        <f ca="1">IF(COUNT(F11:K11)=0,"",SUM(F11:K11))</f>
        <v>5</v>
      </c>
      <c r="N11" s="221"/>
    </row>
    <row r="12" spans="2:14" ht="24" customHeight="1" x14ac:dyDescent="0.25">
      <c r="B12" s="139">
        <v>5</v>
      </c>
      <c r="C12" s="140" t="s">
        <v>202</v>
      </c>
      <c r="D12" s="141"/>
      <c r="E12" s="142"/>
      <c r="F12" s="12" t="str">
        <f ca="1">INDIRECT(ADDRESS(42,6))&amp;":"&amp;INDIRECT(ADDRESS(42,7))</f>
        <v>9:13</v>
      </c>
      <c r="G12" s="7" t="str">
        <f ca="1">INDIRECT(ADDRESS(21,7))&amp;":"&amp;INDIRECT(ADDRESS(21,6))</f>
        <v>12:11</v>
      </c>
      <c r="H12" s="7" t="str">
        <f ca="1">INDIRECT(ADDRESS(26,6))&amp;":"&amp;INDIRECT(ADDRESS(26,7))</f>
        <v>7:13</v>
      </c>
      <c r="I12" s="7" t="str">
        <f ca="1">INDIRECT(ADDRESS(32,7))&amp;":"&amp;INDIRECT(ADDRESS(32,6))</f>
        <v>6:13</v>
      </c>
      <c r="J12" s="8" t="s">
        <v>24</v>
      </c>
      <c r="K12" s="11" t="str">
        <f ca="1">INDIRECT(ADDRESS(35,7))&amp;":"&amp;INDIRECT(ADDRESS(35,6))</f>
        <v>4:13</v>
      </c>
      <c r="L12" s="245">
        <f ca="1">IF(COUNT(F13:K13)=0,"",COUNTIF(F13:K13,"&gt;0")+0.5*COUNTIF(F13:K13,0))</f>
        <v>1</v>
      </c>
      <c r="M12" s="16"/>
      <c r="N12" s="246">
        <v>6</v>
      </c>
    </row>
    <row r="13" spans="2:14" ht="24" customHeight="1" x14ac:dyDescent="0.25">
      <c r="B13" s="132"/>
      <c r="C13" s="140"/>
      <c r="D13" s="141"/>
      <c r="E13" s="142"/>
      <c r="F13" s="22">
        <f ca="1">IF(LEN(INDIRECT(ADDRESS(ROW()-1, COLUMN())))=1,"",INDIRECT(ADDRESS(42,6))-INDIRECT(ADDRESS(42,7)))</f>
        <v>-4</v>
      </c>
      <c r="G13" s="16">
        <f ca="1">IF(LEN(INDIRECT(ADDRESS(ROW()-1, COLUMN())))=1,"",INDIRECT(ADDRESS(21,7))-INDIRECT(ADDRESS(21,6)))</f>
        <v>1</v>
      </c>
      <c r="H13" s="16">
        <f ca="1">IF(LEN(INDIRECT(ADDRESS(ROW()-1, COLUMN())))=1,"",INDIRECT(ADDRESS(26,6))-INDIRECT(ADDRESS(26,7)))</f>
        <v>-6</v>
      </c>
      <c r="I13" s="16">
        <f ca="1">IF(LEN(INDIRECT(ADDRESS(ROW()-1, COLUMN())))=1,"",INDIRECT(ADDRESS(32,7))-INDIRECT(ADDRESS(32,6)))</f>
        <v>-7</v>
      </c>
      <c r="J13" s="14" t="s">
        <v>24</v>
      </c>
      <c r="K13" s="17">
        <f ca="1">IF(LEN(INDIRECT(ADDRESS(ROW()-1, COLUMN())))=1,"",INDIRECT(ADDRESS(35,7))-INDIRECT(ADDRESS(35,6)))</f>
        <v>-9</v>
      </c>
      <c r="L13" s="245"/>
      <c r="M13" s="16">
        <f ca="1">IF(COUNT(F13:K13)=0,"",SUM(F13:K13))</f>
        <v>-25</v>
      </c>
      <c r="N13" s="221"/>
    </row>
    <row r="14" spans="2:14" ht="24" customHeight="1" x14ac:dyDescent="0.25">
      <c r="B14" s="139">
        <v>6</v>
      </c>
      <c r="C14" s="140" t="s">
        <v>203</v>
      </c>
      <c r="D14" s="141"/>
      <c r="E14" s="142"/>
      <c r="F14" s="12" t="str">
        <f ca="1">INDIRECT(ADDRESS(20,7))&amp;":"&amp;INDIRECT(ADDRESS(20,6))</f>
        <v>7:13</v>
      </c>
      <c r="G14" s="7" t="str">
        <f ca="1">INDIRECT(ADDRESS(30,7))&amp;":"&amp;INDIRECT(ADDRESS(30,6))</f>
        <v>2:13</v>
      </c>
      <c r="H14" s="7" t="str">
        <f ca="1">INDIRECT(ADDRESS(40,7))&amp;":"&amp;INDIRECT(ADDRESS(40,6))</f>
        <v>13:5</v>
      </c>
      <c r="I14" s="7" t="str">
        <f ca="1">INDIRECT(ADDRESS(25,6))&amp;":"&amp;INDIRECT(ADDRESS(25,7))</f>
        <v>6:13</v>
      </c>
      <c r="J14" s="7" t="str">
        <f ca="1">INDIRECT(ADDRESS(35,6))&amp;":"&amp;INDIRECT(ADDRESS(35,7))</f>
        <v>13:4</v>
      </c>
      <c r="K14" s="34" t="s">
        <v>24</v>
      </c>
      <c r="L14" s="245">
        <f ca="1">IF(COUNT(F15:K15)=0,"",COUNTIF(F15:K15,"&gt;0")+0.5*COUNTIF(F15:K15,0))</f>
        <v>2</v>
      </c>
      <c r="M14" s="16"/>
      <c r="N14" s="246">
        <v>4</v>
      </c>
    </row>
    <row r="15" spans="2:14" ht="24" customHeight="1" thickBot="1" x14ac:dyDescent="0.3">
      <c r="B15" s="143"/>
      <c r="C15" s="144"/>
      <c r="D15" s="145"/>
      <c r="E15" s="146"/>
      <c r="F15" s="19">
        <f ca="1">IF(LEN(INDIRECT(ADDRESS(ROW()-1, COLUMN())))=1,"",INDIRECT(ADDRESS(20,7))-INDIRECT(ADDRESS(20,6)))</f>
        <v>-6</v>
      </c>
      <c r="G15" s="18">
        <f ca="1">IF(LEN(INDIRECT(ADDRESS(ROW()-1, COLUMN())))=1,"",INDIRECT(ADDRESS(30,7))-INDIRECT(ADDRESS(30,6)))</f>
        <v>-11</v>
      </c>
      <c r="H15" s="18">
        <f ca="1">IF(LEN(INDIRECT(ADDRESS(ROW()-1, COLUMN())))=1,"",INDIRECT(ADDRESS(40,7))-INDIRECT(ADDRESS(40,6)))</f>
        <v>8</v>
      </c>
      <c r="I15" s="18">
        <f ca="1">IF(LEN(INDIRECT(ADDRESS(ROW()-1, COLUMN())))=1,"",INDIRECT(ADDRESS(25,6))-INDIRECT(ADDRESS(25,7)))</f>
        <v>-7</v>
      </c>
      <c r="J15" s="18">
        <f ca="1">IF(LEN(INDIRECT(ADDRESS(ROW()-1, COLUMN())))=1,"",INDIRECT(ADDRESS(35,6))-INDIRECT(ADDRESS(35,7)))</f>
        <v>9</v>
      </c>
      <c r="K15" s="15" t="s">
        <v>24</v>
      </c>
      <c r="L15" s="248"/>
      <c r="M15" s="18">
        <f ca="1">IF(COUNT(F15:K15)=0,"",SUM(F15:K15))</f>
        <v>-7</v>
      </c>
      <c r="N15" s="247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6" customFormat="1" ht="30" customHeight="1" thickBot="1" x14ac:dyDescent="0.4">
      <c r="A19" s="35"/>
      <c r="B19" s="147" t="s">
        <v>4</v>
      </c>
      <c r="C19" s="147"/>
      <c r="D19" s="147"/>
      <c r="E19" s="147"/>
      <c r="F19" s="147"/>
      <c r="G19" s="147"/>
      <c r="H19" s="147"/>
      <c r="I19" s="147"/>
      <c r="J19" s="147"/>
      <c r="K19" s="147"/>
    </row>
    <row r="20" spans="1:13" s="36" customFormat="1" ht="30" customHeight="1" thickBot="1" x14ac:dyDescent="0.4">
      <c r="A20" s="35"/>
      <c r="B20" s="37">
        <v>1</v>
      </c>
      <c r="C20" s="124" t="str">
        <f ca="1">IF(ISBLANK(INDIRECT(ADDRESS(B20*2+2,3))),"",INDIRECT(ADDRESS(B20*2+2,3)))</f>
        <v>Кунаев Илья</v>
      </c>
      <c r="D20" s="124"/>
      <c r="E20" s="125"/>
      <c r="F20" s="38">
        <v>13</v>
      </c>
      <c r="G20" s="39">
        <v>7</v>
      </c>
      <c r="H20" s="126" t="str">
        <f ca="1">IF(ISBLANK(INDIRECT(ADDRESS(K20*2+2,3))),"",INDIRECT(ADDRESS(K20*2+2,3)))</f>
        <v>Богатырев Александр</v>
      </c>
      <c r="I20" s="124"/>
      <c r="J20" s="124"/>
      <c r="K20" s="37">
        <v>6</v>
      </c>
      <c r="L20" s="40" t="s">
        <v>10</v>
      </c>
      <c r="M20" s="89"/>
    </row>
    <row r="21" spans="1:13" s="36" customFormat="1" ht="30" customHeight="1" thickBot="1" x14ac:dyDescent="0.4">
      <c r="A21" s="35"/>
      <c r="B21" s="37">
        <v>2</v>
      </c>
      <c r="C21" s="124" t="str">
        <f ca="1">IF(ISBLANK(INDIRECT(ADDRESS(B21*2+2,3))),"",INDIRECT(ADDRESS(B21*2+2,3)))</f>
        <v>Муругов Вадим</v>
      </c>
      <c r="D21" s="124"/>
      <c r="E21" s="125"/>
      <c r="F21" s="38">
        <v>11</v>
      </c>
      <c r="G21" s="39">
        <v>12</v>
      </c>
      <c r="H21" s="126" t="str">
        <f ca="1">IF(ISBLANK(INDIRECT(ADDRESS(K21*2+2,3))),"",INDIRECT(ADDRESS(K21*2+2,3)))</f>
        <v>Стеценко Сергей</v>
      </c>
      <c r="I21" s="124"/>
      <c r="J21" s="124"/>
      <c r="K21" s="37">
        <v>5</v>
      </c>
      <c r="L21" s="40" t="s">
        <v>10</v>
      </c>
      <c r="M21" s="89"/>
    </row>
    <row r="22" spans="1:13" s="36" customFormat="1" ht="30" customHeight="1" thickBot="1" x14ac:dyDescent="0.4">
      <c r="A22" s="35"/>
      <c r="B22" s="37">
        <v>3</v>
      </c>
      <c r="C22" s="124" t="str">
        <f ca="1">IF(ISBLANK(INDIRECT(ADDRESS(B22*2+2,3))),"",INDIRECT(ADDRESS(B22*2+2,3)))</f>
        <v>Гандрабура Вячеслав</v>
      </c>
      <c r="D22" s="124"/>
      <c r="E22" s="125"/>
      <c r="F22" s="38">
        <v>13</v>
      </c>
      <c r="G22" s="39">
        <v>6</v>
      </c>
      <c r="H22" s="126" t="str">
        <f ca="1">IF(ISBLANK(INDIRECT(ADDRESS(K22*2+2,3))),"",INDIRECT(ADDRESS(K22*2+2,3)))</f>
        <v>Павлов Николай</v>
      </c>
      <c r="I22" s="124"/>
      <c r="J22" s="124"/>
      <c r="K22" s="37">
        <v>4</v>
      </c>
      <c r="L22" s="40" t="s">
        <v>10</v>
      </c>
      <c r="M22" s="89"/>
    </row>
    <row r="23" spans="1:13" s="36" customFormat="1" ht="30" customHeight="1" x14ac:dyDescent="0.35">
      <c r="A23" s="35"/>
      <c r="M23" s="41"/>
    </row>
    <row r="24" spans="1:13" s="36" customFormat="1" ht="30" customHeight="1" thickBot="1" x14ac:dyDescent="0.4">
      <c r="A24" s="35"/>
      <c r="B24" s="147" t="s">
        <v>5</v>
      </c>
      <c r="C24" s="147"/>
      <c r="D24" s="147"/>
      <c r="E24" s="147"/>
      <c r="F24" s="147"/>
      <c r="G24" s="147"/>
      <c r="H24" s="147"/>
      <c r="I24" s="147"/>
      <c r="J24" s="147"/>
      <c r="K24" s="147"/>
      <c r="M24" s="41"/>
    </row>
    <row r="25" spans="1:13" s="36" customFormat="1" ht="30" customHeight="1" thickBot="1" x14ac:dyDescent="0.4">
      <c r="A25" s="35"/>
      <c r="B25" s="37">
        <v>6</v>
      </c>
      <c r="C25" s="124" t="str">
        <f ca="1">IF(ISBLANK(INDIRECT(ADDRESS(B25*2+2,3))),"",INDIRECT(ADDRESS(B25*2+2,3)))</f>
        <v>Богатырев Александр</v>
      </c>
      <c r="D25" s="124"/>
      <c r="E25" s="125"/>
      <c r="F25" s="38">
        <v>6</v>
      </c>
      <c r="G25" s="39">
        <v>13</v>
      </c>
      <c r="H25" s="126" t="str">
        <f ca="1">IF(ISBLANK(INDIRECT(ADDRESS(K25*2+2,3))),"",INDIRECT(ADDRESS(K25*2+2,3)))</f>
        <v>Павлов Николай</v>
      </c>
      <c r="I25" s="124"/>
      <c r="J25" s="124"/>
      <c r="K25" s="37">
        <v>4</v>
      </c>
      <c r="L25" s="40" t="s">
        <v>10</v>
      </c>
      <c r="M25" s="89"/>
    </row>
    <row r="26" spans="1:13" s="36" customFormat="1" ht="30" customHeight="1" thickBot="1" x14ac:dyDescent="0.4">
      <c r="A26" s="35"/>
      <c r="B26" s="37">
        <v>5</v>
      </c>
      <c r="C26" s="124" t="str">
        <f ca="1">IF(ISBLANK(INDIRECT(ADDRESS(B26*2+2,3))),"",INDIRECT(ADDRESS(B26*2+2,3)))</f>
        <v>Стеценко Сергей</v>
      </c>
      <c r="D26" s="124"/>
      <c r="E26" s="125"/>
      <c r="F26" s="38">
        <v>7</v>
      </c>
      <c r="G26" s="39">
        <v>13</v>
      </c>
      <c r="H26" s="126" t="str">
        <f ca="1">IF(ISBLANK(INDIRECT(ADDRESS(K26*2+2,3))),"",INDIRECT(ADDRESS(K26*2+2,3)))</f>
        <v>Гандрабура Вячеслав</v>
      </c>
      <c r="I26" s="124"/>
      <c r="J26" s="124"/>
      <c r="K26" s="37">
        <v>3</v>
      </c>
      <c r="L26" s="40" t="s">
        <v>10</v>
      </c>
      <c r="M26" s="89"/>
    </row>
    <row r="27" spans="1:13" s="36" customFormat="1" ht="30" customHeight="1" thickBot="1" x14ac:dyDescent="0.4">
      <c r="A27" s="35"/>
      <c r="B27" s="37">
        <v>1</v>
      </c>
      <c r="C27" s="124" t="str">
        <f ca="1">IF(ISBLANK(INDIRECT(ADDRESS(B27*2+2,3))),"",INDIRECT(ADDRESS(B27*2+2,3)))</f>
        <v>Кунаев Илья</v>
      </c>
      <c r="D27" s="124"/>
      <c r="E27" s="125"/>
      <c r="F27" s="38">
        <v>11</v>
      </c>
      <c r="G27" s="39">
        <v>13</v>
      </c>
      <c r="H27" s="126" t="str">
        <f ca="1">IF(ISBLANK(INDIRECT(ADDRESS(K27*2+2,3))),"",INDIRECT(ADDRESS(K27*2+2,3)))</f>
        <v>Муругов Вадим</v>
      </c>
      <c r="I27" s="124"/>
      <c r="J27" s="124"/>
      <c r="K27" s="37">
        <v>2</v>
      </c>
      <c r="L27" s="40" t="s">
        <v>10</v>
      </c>
      <c r="M27" s="89"/>
    </row>
    <row r="28" spans="1:13" s="36" customFormat="1" ht="30" customHeight="1" x14ac:dyDescent="0.35">
      <c r="A28" s="35"/>
      <c r="M28" s="41"/>
    </row>
    <row r="29" spans="1:13" s="36" customFormat="1" ht="30" customHeight="1" thickBot="1" x14ac:dyDescent="0.4">
      <c r="A29" s="35"/>
      <c r="B29" s="147" t="s">
        <v>6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s="36" customFormat="1" ht="30" customHeight="1" thickBot="1" x14ac:dyDescent="0.4">
      <c r="A30" s="35"/>
      <c r="B30" s="37">
        <v>2</v>
      </c>
      <c r="C30" s="124" t="str">
        <f ca="1">IF(ISBLANK(INDIRECT(ADDRESS(B30*2+2,3))),"",INDIRECT(ADDRESS(B30*2+2,3)))</f>
        <v>Муругов Вадим</v>
      </c>
      <c r="D30" s="124"/>
      <c r="E30" s="125"/>
      <c r="F30" s="38">
        <v>13</v>
      </c>
      <c r="G30" s="39">
        <v>2</v>
      </c>
      <c r="H30" s="126" t="str">
        <f ca="1">IF(ISBLANK(INDIRECT(ADDRESS(K30*2+2,3))),"",INDIRECT(ADDRESS(K30*2+2,3)))</f>
        <v>Богатырев Александр</v>
      </c>
      <c r="I30" s="124"/>
      <c r="J30" s="124"/>
      <c r="K30" s="37">
        <v>6</v>
      </c>
      <c r="L30" s="40" t="s">
        <v>10</v>
      </c>
      <c r="M30" s="89"/>
    </row>
    <row r="31" spans="1:13" s="36" customFormat="1" ht="30" customHeight="1" thickBot="1" x14ac:dyDescent="0.4">
      <c r="A31" s="35"/>
      <c r="B31" s="37">
        <v>3</v>
      </c>
      <c r="C31" s="124" t="str">
        <f ca="1">IF(ISBLANK(INDIRECT(ADDRESS(B31*2+2,3))),"",INDIRECT(ADDRESS(B31*2+2,3)))</f>
        <v>Гандрабура Вячеслав</v>
      </c>
      <c r="D31" s="124"/>
      <c r="E31" s="125"/>
      <c r="F31" s="38">
        <v>8</v>
      </c>
      <c r="G31" s="39">
        <v>13</v>
      </c>
      <c r="H31" s="126" t="str">
        <f ca="1">IF(ISBLANK(INDIRECT(ADDRESS(K31*2+2,3))),"",INDIRECT(ADDRESS(K31*2+2,3)))</f>
        <v>Кунаев Илья</v>
      </c>
      <c r="I31" s="124"/>
      <c r="J31" s="124"/>
      <c r="K31" s="37">
        <v>1</v>
      </c>
      <c r="L31" s="40" t="s">
        <v>10</v>
      </c>
      <c r="M31" s="89"/>
    </row>
    <row r="32" spans="1:13" s="36" customFormat="1" ht="30" customHeight="1" thickBot="1" x14ac:dyDescent="0.4">
      <c r="A32" s="35"/>
      <c r="B32" s="37">
        <v>4</v>
      </c>
      <c r="C32" s="124" t="str">
        <f ca="1">IF(ISBLANK(INDIRECT(ADDRESS(B32*2+2,3))),"",INDIRECT(ADDRESS(B32*2+2,3)))</f>
        <v>Павлов Николай</v>
      </c>
      <c r="D32" s="124"/>
      <c r="E32" s="125"/>
      <c r="F32" s="38">
        <v>13</v>
      </c>
      <c r="G32" s="39">
        <v>6</v>
      </c>
      <c r="H32" s="126" t="str">
        <f ca="1">IF(ISBLANK(INDIRECT(ADDRESS(K32*2+2,3))),"",INDIRECT(ADDRESS(K32*2+2,3)))</f>
        <v>Стеценко Сергей</v>
      </c>
      <c r="I32" s="124"/>
      <c r="J32" s="124"/>
      <c r="K32" s="37">
        <v>5</v>
      </c>
      <c r="L32" s="40" t="s">
        <v>10</v>
      </c>
      <c r="M32" s="89"/>
    </row>
    <row r="33" spans="1:13" s="36" customFormat="1" ht="30" customHeight="1" x14ac:dyDescent="0.35">
      <c r="A33" s="35"/>
      <c r="M33" s="41"/>
    </row>
    <row r="34" spans="1:13" s="36" customFormat="1" ht="30" customHeight="1" thickBot="1" x14ac:dyDescent="0.4">
      <c r="A34" s="35"/>
      <c r="B34" s="147" t="s">
        <v>7</v>
      </c>
      <c r="C34" s="147"/>
      <c r="D34" s="147"/>
      <c r="E34" s="147"/>
      <c r="F34" s="147"/>
      <c r="G34" s="147"/>
      <c r="H34" s="147"/>
      <c r="I34" s="147"/>
      <c r="J34" s="147"/>
      <c r="K34" s="147"/>
      <c r="M34" s="41"/>
    </row>
    <row r="35" spans="1:13" s="36" customFormat="1" ht="30" customHeight="1" thickBot="1" x14ac:dyDescent="0.4">
      <c r="A35" s="35"/>
      <c r="B35" s="37">
        <v>6</v>
      </c>
      <c r="C35" s="124" t="str">
        <f ca="1">IF(ISBLANK(INDIRECT(ADDRESS(B35*2+2,3))),"",INDIRECT(ADDRESS(B35*2+2,3)))</f>
        <v>Богатырев Александр</v>
      </c>
      <c r="D35" s="124"/>
      <c r="E35" s="125"/>
      <c r="F35" s="38">
        <v>13</v>
      </c>
      <c r="G35" s="39">
        <v>4</v>
      </c>
      <c r="H35" s="126" t="str">
        <f ca="1">IF(ISBLANK(INDIRECT(ADDRESS(K35*2+2,3))),"",INDIRECT(ADDRESS(K35*2+2,3)))</f>
        <v>Стеценко Сергей</v>
      </c>
      <c r="I35" s="124"/>
      <c r="J35" s="124"/>
      <c r="K35" s="37">
        <v>5</v>
      </c>
      <c r="L35" s="40" t="s">
        <v>10</v>
      </c>
      <c r="M35" s="89"/>
    </row>
    <row r="36" spans="1:13" s="36" customFormat="1" ht="30" customHeight="1" thickBot="1" x14ac:dyDescent="0.4">
      <c r="A36" s="35"/>
      <c r="B36" s="37">
        <v>1</v>
      </c>
      <c r="C36" s="124" t="str">
        <f ca="1">IF(ISBLANK(INDIRECT(ADDRESS(B36*2+2,3))),"",INDIRECT(ADDRESS(B36*2+2,3)))</f>
        <v>Кунаев Илья</v>
      </c>
      <c r="D36" s="124"/>
      <c r="E36" s="125"/>
      <c r="F36" s="38">
        <v>13</v>
      </c>
      <c r="G36" s="39">
        <v>10</v>
      </c>
      <c r="H36" s="126" t="str">
        <f ca="1">IF(ISBLANK(INDIRECT(ADDRESS(K36*2+2,3))),"",INDIRECT(ADDRESS(K36*2+2,3)))</f>
        <v>Павлов Николай</v>
      </c>
      <c r="I36" s="124"/>
      <c r="J36" s="124"/>
      <c r="K36" s="37">
        <v>4</v>
      </c>
      <c r="L36" s="40" t="s">
        <v>10</v>
      </c>
      <c r="M36" s="89"/>
    </row>
    <row r="37" spans="1:13" s="36" customFormat="1" ht="30" customHeight="1" thickBot="1" x14ac:dyDescent="0.4">
      <c r="A37" s="35"/>
      <c r="B37" s="37">
        <v>2</v>
      </c>
      <c r="C37" s="124" t="str">
        <f ca="1">IF(ISBLANK(INDIRECT(ADDRESS(B37*2+2,3))),"",INDIRECT(ADDRESS(B37*2+2,3)))</f>
        <v>Муругов Вадим</v>
      </c>
      <c r="D37" s="124"/>
      <c r="E37" s="125"/>
      <c r="F37" s="38">
        <v>13</v>
      </c>
      <c r="G37" s="39">
        <v>7</v>
      </c>
      <c r="H37" s="126" t="str">
        <f ca="1">IF(ISBLANK(INDIRECT(ADDRESS(K37*2+2,3))),"",INDIRECT(ADDRESS(K37*2+2,3)))</f>
        <v>Гандрабура Вячеслав</v>
      </c>
      <c r="I37" s="124"/>
      <c r="J37" s="124"/>
      <c r="K37" s="37">
        <v>3</v>
      </c>
      <c r="L37" s="40" t="s">
        <v>10</v>
      </c>
      <c r="M37" s="89"/>
    </row>
    <row r="38" spans="1:13" s="36" customFormat="1" ht="30" customHeight="1" x14ac:dyDescent="0.35">
      <c r="A38" s="35"/>
      <c r="M38" s="41"/>
    </row>
    <row r="39" spans="1:13" s="36" customFormat="1" ht="30" customHeight="1" thickBot="1" x14ac:dyDescent="0.4">
      <c r="A39" s="35"/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  <c r="M39" s="41"/>
    </row>
    <row r="40" spans="1:13" s="36" customFormat="1" ht="30" customHeight="1" thickBot="1" x14ac:dyDescent="0.4">
      <c r="A40" s="35"/>
      <c r="B40" s="37">
        <v>3</v>
      </c>
      <c r="C40" s="124" t="str">
        <f ca="1">IF(ISBLANK(INDIRECT(ADDRESS(B40*2+2,3))),"",INDIRECT(ADDRESS(B40*2+2,3)))</f>
        <v>Гандрабура Вячеслав</v>
      </c>
      <c r="D40" s="124"/>
      <c r="E40" s="125"/>
      <c r="F40" s="38">
        <v>5</v>
      </c>
      <c r="G40" s="39">
        <v>13</v>
      </c>
      <c r="H40" s="126" t="str">
        <f ca="1">IF(ISBLANK(INDIRECT(ADDRESS(K40*2+2,3))),"",INDIRECT(ADDRESS(K40*2+2,3)))</f>
        <v>Богатырев Александр</v>
      </c>
      <c r="I40" s="124"/>
      <c r="J40" s="124"/>
      <c r="K40" s="37">
        <v>6</v>
      </c>
      <c r="L40" s="40" t="s">
        <v>10</v>
      </c>
      <c r="M40" s="89"/>
    </row>
    <row r="41" spans="1:13" s="36" customFormat="1" ht="30" customHeight="1" thickBot="1" x14ac:dyDescent="0.4">
      <c r="A41" s="35"/>
      <c r="B41" s="37">
        <v>4</v>
      </c>
      <c r="C41" s="124" t="str">
        <f ca="1">IF(ISBLANK(INDIRECT(ADDRESS(B41*2+2,3))),"",INDIRECT(ADDRESS(B41*2+2,3)))</f>
        <v>Павлов Николай</v>
      </c>
      <c r="D41" s="124"/>
      <c r="E41" s="125"/>
      <c r="F41" s="38">
        <v>13</v>
      </c>
      <c r="G41" s="39">
        <v>12</v>
      </c>
      <c r="H41" s="126" t="str">
        <f ca="1">IF(ISBLANK(INDIRECT(ADDRESS(K41*2+2,3))),"",INDIRECT(ADDRESS(K41*2+2,3)))</f>
        <v>Муругов Вадим</v>
      </c>
      <c r="I41" s="124"/>
      <c r="J41" s="124"/>
      <c r="K41" s="37">
        <v>2</v>
      </c>
      <c r="L41" s="40" t="s">
        <v>10</v>
      </c>
      <c r="M41" s="89"/>
    </row>
    <row r="42" spans="1:13" s="36" customFormat="1" ht="30" customHeight="1" thickBot="1" x14ac:dyDescent="0.4">
      <c r="A42" s="35"/>
      <c r="B42" s="37">
        <v>5</v>
      </c>
      <c r="C42" s="124" t="str">
        <f ca="1">IF(ISBLANK(INDIRECT(ADDRESS(B42*2+2,3))),"",INDIRECT(ADDRESS(B42*2+2,3)))</f>
        <v>Стеценко Сергей</v>
      </c>
      <c r="D42" s="124"/>
      <c r="E42" s="125"/>
      <c r="F42" s="38">
        <v>9</v>
      </c>
      <c r="G42" s="39">
        <v>13</v>
      </c>
      <c r="H42" s="126" t="str">
        <f ca="1">IF(ISBLANK(INDIRECT(ADDRESS(K42*2+2,3))),"",INDIRECT(ADDRESS(K42*2+2,3)))</f>
        <v>Кунаев Илья</v>
      </c>
      <c r="I42" s="124"/>
      <c r="J42" s="124"/>
      <c r="K42" s="37">
        <v>1</v>
      </c>
      <c r="L42" s="40" t="s">
        <v>10</v>
      </c>
      <c r="M42" s="89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C10" sqref="C10:E11"/>
    </sheetView>
  </sheetViews>
  <sheetFormatPr defaultRowHeight="15" x14ac:dyDescent="0.25"/>
  <cols>
    <col min="1" max="1" width="4" customWidth="1"/>
    <col min="2" max="12" width="10.28515625" customWidth="1"/>
    <col min="13" max="13" width="10.28515625" style="28" customWidth="1"/>
    <col min="14" max="15" width="10.28515625" customWidth="1"/>
  </cols>
  <sheetData>
    <row r="1" spans="1:16" ht="59.25" customHeight="1" x14ac:dyDescent="0.25">
      <c r="B1" s="253" t="s">
        <v>47</v>
      </c>
      <c r="C1" s="253"/>
      <c r="D1" s="253"/>
      <c r="E1" s="253"/>
      <c r="F1" s="253"/>
      <c r="G1" s="253"/>
      <c r="H1" s="253"/>
      <c r="I1" s="253"/>
      <c r="J1" s="253"/>
      <c r="K1" s="253"/>
      <c r="L1" t="s">
        <v>18</v>
      </c>
      <c r="M1"/>
      <c r="N1" s="31">
        <v>46039</v>
      </c>
    </row>
    <row r="2" spans="1:16" ht="15.75" thickBot="1" x14ac:dyDescent="0.3">
      <c r="M2"/>
    </row>
    <row r="3" spans="1:16" ht="30" customHeight="1" thickBot="1" x14ac:dyDescent="0.3">
      <c r="B3" s="65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21">
        <v>7</v>
      </c>
      <c r="M3" s="3" t="s">
        <v>1</v>
      </c>
      <c r="N3" s="1" t="s">
        <v>3</v>
      </c>
      <c r="O3" s="4" t="s">
        <v>2</v>
      </c>
    </row>
    <row r="4" spans="1:16" ht="24" customHeight="1" x14ac:dyDescent="0.25">
      <c r="A4" s="5"/>
      <c r="B4" s="131">
        <v>1</v>
      </c>
      <c r="C4" s="254" t="s">
        <v>111</v>
      </c>
      <c r="D4" s="255"/>
      <c r="E4" s="256"/>
      <c r="F4" s="10"/>
      <c r="G4" s="6" t="str">
        <f ca="1">INDIRECT(ADDRESS(29,6))&amp;":"&amp;INDIRECT(ADDRESS(29,7))</f>
        <v>6:13</v>
      </c>
      <c r="H4" s="6" t="str">
        <f ca="1">INDIRECT(ADDRESS(32,7))&amp;":"&amp;INDIRECT(ADDRESS(32,6))</f>
        <v>2:13</v>
      </c>
      <c r="I4" s="6" t="str">
        <f ca="1">INDIRECT(ADDRESS(38,6))&amp;":"&amp;INDIRECT(ADDRESS(38,7))</f>
        <v>4:13</v>
      </c>
      <c r="J4" s="6" t="str">
        <f ca="1">INDIRECT(ADDRESS(43,7))&amp;":"&amp;INDIRECT(ADDRESS(43,6))</f>
        <v>5:13</v>
      </c>
      <c r="K4" s="66" t="str">
        <f ca="1">INDIRECT(ADDRESS(47,6))&amp;":"&amp;INDIRECT(ADDRESS(47,7))</f>
        <v>3:13</v>
      </c>
      <c r="L4" s="20" t="str">
        <f ca="1">INDIRECT(ADDRESS(54,7))&amp;":"&amp;INDIRECT(ADDRESS(54,6))</f>
        <v>12:13</v>
      </c>
      <c r="M4" s="263">
        <f ca="1">IF(COUNT(F5:L5)=0,"",COUNTIF(F5:L5,"&gt;0")+0.5*COUNTIF(F5:L5,0))</f>
        <v>0</v>
      </c>
      <c r="N4" s="23"/>
      <c r="O4" s="219">
        <v>7</v>
      </c>
    </row>
    <row r="5" spans="1:16" ht="24" customHeight="1" x14ac:dyDescent="0.25">
      <c r="A5" s="5"/>
      <c r="B5" s="132"/>
      <c r="C5" s="140"/>
      <c r="D5" s="141"/>
      <c r="E5" s="142"/>
      <c r="F5" s="13"/>
      <c r="G5" s="16">
        <f ca="1">IF(LEN(INDIRECT(ADDRESS(ROW()-1, COLUMN())))=1,"",INDIRECT(ADDRESS(29,6))-INDIRECT(ADDRESS(29,7)))</f>
        <v>-7</v>
      </c>
      <c r="H5" s="16">
        <f ca="1">IF(LEN(INDIRECT(ADDRESS(ROW()-1, COLUMN())))=1,"",INDIRECT(ADDRESS(32,7))-INDIRECT(ADDRESS(32,6)))</f>
        <v>-11</v>
      </c>
      <c r="I5" s="16">
        <f ca="1">IF(LEN(INDIRECT(ADDRESS(ROW()-1, COLUMN())))=1,"",INDIRECT(ADDRESS(38,6))-INDIRECT(ADDRESS(38,7)))</f>
        <v>-9</v>
      </c>
      <c r="J5" s="16">
        <f ca="1">IF(LEN(INDIRECT(ADDRESS(ROW()-1, COLUMN())))=1,"",INDIRECT(ADDRESS(43,7))-INDIRECT(ADDRESS(43,6)))</f>
        <v>-8</v>
      </c>
      <c r="K5" s="67">
        <f ca="1">IF(LEN(INDIRECT(ADDRESS(ROW()-1, COLUMN())))=1,"",INDIRECT(ADDRESS(47,6))-INDIRECT(ADDRESS(47,7)))</f>
        <v>-10</v>
      </c>
      <c r="L5" s="17">
        <f ca="1">IF(LEN(INDIRECT(ADDRESS(ROW()-1, COLUMN())))=1,"",INDIRECT(ADDRESS(54,7))-INDIRECT(ADDRESS(54,6)))</f>
        <v>-1</v>
      </c>
      <c r="M5" s="151"/>
      <c r="N5" s="16">
        <f ca="1">IF(COUNT(F5:L5)=0,"",SUM(F5:L5))</f>
        <v>-46</v>
      </c>
      <c r="O5" s="221"/>
    </row>
    <row r="6" spans="1:16" ht="24" customHeight="1" x14ac:dyDescent="0.25">
      <c r="A6" s="5"/>
      <c r="B6" s="139">
        <v>2</v>
      </c>
      <c r="C6" s="140" t="s">
        <v>112</v>
      </c>
      <c r="D6" s="141"/>
      <c r="E6" s="142"/>
      <c r="F6" s="12" t="str">
        <f ca="1">INDIRECT(ADDRESS(29,7))&amp;":"&amp;INDIRECT(ADDRESS(29,6))</f>
        <v>13:6</v>
      </c>
      <c r="G6" s="8"/>
      <c r="H6" s="7" t="str">
        <f ca="1">INDIRECT(ADDRESS(39,6))&amp;":"&amp;INDIRECT(ADDRESS(39,7))</f>
        <v>4:13</v>
      </c>
      <c r="I6" s="7" t="str">
        <f ca="1">INDIRECT(ADDRESS(42,7))&amp;":"&amp;INDIRECT(ADDRESS(42,6))</f>
        <v>1:13</v>
      </c>
      <c r="J6" s="7" t="str">
        <f ca="1">INDIRECT(ADDRESS(48,6))&amp;":"&amp;INDIRECT(ADDRESS(48,7))</f>
        <v>13:7</v>
      </c>
      <c r="K6" s="68" t="str">
        <f ca="1">INDIRECT(ADDRESS(53,7))&amp;":"&amp;INDIRECT(ADDRESS(53,6))</f>
        <v>5:13</v>
      </c>
      <c r="L6" s="11" t="str">
        <f ca="1">INDIRECT(ADDRESS(22,6))&amp;":"&amp;INDIRECT(ADDRESS(22,7))</f>
        <v>13:10</v>
      </c>
      <c r="M6" s="151">
        <f ca="1">IF(COUNT(F7:L7)=0,"",COUNTIF(F7:L7,"&gt;0")+0.5*COUNTIF(F7:L7,0))</f>
        <v>3</v>
      </c>
      <c r="N6" s="16"/>
      <c r="O6" s="246">
        <v>5</v>
      </c>
    </row>
    <row r="7" spans="1:16" ht="24" customHeight="1" x14ac:dyDescent="0.25">
      <c r="A7" s="5"/>
      <c r="B7" s="132"/>
      <c r="C7" s="140"/>
      <c r="D7" s="141"/>
      <c r="E7" s="142"/>
      <c r="F7" s="22">
        <f ca="1">IF(LEN(INDIRECT(ADDRESS(ROW()-1, COLUMN())))=1,"",INDIRECT(ADDRESS(29,7))-INDIRECT(ADDRESS(29,6)))</f>
        <v>7</v>
      </c>
      <c r="G7" s="14"/>
      <c r="H7" s="16">
        <f ca="1">IF(LEN(INDIRECT(ADDRESS(ROW()-1, COLUMN())))=1,"",INDIRECT(ADDRESS(39,6))-INDIRECT(ADDRESS(39,7)))</f>
        <v>-9</v>
      </c>
      <c r="I7" s="16">
        <f ca="1">IF(LEN(INDIRECT(ADDRESS(ROW()-1, COLUMN())))=1,"",INDIRECT(ADDRESS(42,7))-INDIRECT(ADDRESS(42,6)))</f>
        <v>-12</v>
      </c>
      <c r="J7" s="16">
        <f ca="1">IF(LEN(INDIRECT(ADDRESS(ROW()-1, COLUMN())))=1,"",INDIRECT(ADDRESS(48,6))-INDIRECT(ADDRESS(48,7)))</f>
        <v>6</v>
      </c>
      <c r="K7" s="67">
        <f ca="1">IF(LEN(INDIRECT(ADDRESS(ROW()-1, COLUMN())))=1,"",INDIRECT(ADDRESS(53,7))-INDIRECT(ADDRESS(53,6)))</f>
        <v>-8</v>
      </c>
      <c r="L7" s="17">
        <f ca="1">IF(LEN(INDIRECT(ADDRESS(ROW()-1, COLUMN())))=1,"",INDIRECT(ADDRESS(22,6))-INDIRECT(ADDRESS(22,7)))</f>
        <v>3</v>
      </c>
      <c r="M7" s="151"/>
      <c r="N7" s="16">
        <f ca="1">IF(COUNT(F7:L7)=0,"",SUM(F7:L7))</f>
        <v>-13</v>
      </c>
      <c r="O7" s="221"/>
    </row>
    <row r="8" spans="1:16" ht="24" customHeight="1" x14ac:dyDescent="0.25">
      <c r="A8" s="5"/>
      <c r="B8" s="139">
        <v>3</v>
      </c>
      <c r="C8" s="136" t="s">
        <v>96</v>
      </c>
      <c r="D8" s="137"/>
      <c r="E8" s="138"/>
      <c r="F8" s="12" t="str">
        <f ca="1">INDIRECT(ADDRESS(32,6))&amp;":"&amp;INDIRECT(ADDRESS(32,7))</f>
        <v>13:2</v>
      </c>
      <c r="G8" s="7" t="str">
        <f ca="1">INDIRECT(ADDRESS(39,7))&amp;":"&amp;INDIRECT(ADDRESS(39,6))</f>
        <v>13:4</v>
      </c>
      <c r="H8" s="8"/>
      <c r="I8" s="7" t="str">
        <f ca="1">INDIRECT(ADDRESS(49,6))&amp;":"&amp;INDIRECT(ADDRESS(49,7))</f>
        <v>13:9</v>
      </c>
      <c r="J8" s="7" t="str">
        <f ca="1">INDIRECT(ADDRESS(52,7))&amp;":"&amp;INDIRECT(ADDRESS(52,6))</f>
        <v>13:2</v>
      </c>
      <c r="K8" s="68" t="str">
        <f ca="1">INDIRECT(ADDRESS(23,6))&amp;":"&amp;INDIRECT(ADDRESS(23,7))</f>
        <v>13:11</v>
      </c>
      <c r="L8" s="11" t="str">
        <f ca="1">INDIRECT(ADDRESS(28,7))&amp;":"&amp;INDIRECT(ADDRESS(28,6))</f>
        <v>13:12</v>
      </c>
      <c r="M8" s="151">
        <f ca="1">IF(COUNT(F9:L9)=0,"",COUNTIF(F9:L9,"&gt;0")+0.5*COUNTIF(F9:L9,0))</f>
        <v>6</v>
      </c>
      <c r="N8" s="16"/>
      <c r="O8" s="246">
        <v>1</v>
      </c>
    </row>
    <row r="9" spans="1:16" ht="24" customHeight="1" x14ac:dyDescent="0.25">
      <c r="A9" s="5"/>
      <c r="B9" s="132"/>
      <c r="C9" s="136"/>
      <c r="D9" s="137"/>
      <c r="E9" s="138"/>
      <c r="F9" s="22">
        <f ca="1">IF(LEN(INDIRECT(ADDRESS(ROW()-1, COLUMN())))=1,"",INDIRECT(ADDRESS(32,6))-INDIRECT(ADDRESS(32,7)))</f>
        <v>11</v>
      </c>
      <c r="G9" s="16">
        <f ca="1">IF(LEN(INDIRECT(ADDRESS(ROW()-1, COLUMN())))=1,"",INDIRECT(ADDRESS(39,7))-INDIRECT(ADDRESS(39,6)))</f>
        <v>9</v>
      </c>
      <c r="H9" s="14"/>
      <c r="I9" s="16">
        <f ca="1">IF(LEN(INDIRECT(ADDRESS(ROW()-1, COLUMN())))=1,"",INDIRECT(ADDRESS(49,6))-INDIRECT(ADDRESS(49,7)))</f>
        <v>4</v>
      </c>
      <c r="J9" s="16">
        <f ca="1">IF(LEN(INDIRECT(ADDRESS(ROW()-1, COLUMN())))=1,"",INDIRECT(ADDRESS(52,7))-INDIRECT(ADDRESS(52,6)))</f>
        <v>11</v>
      </c>
      <c r="K9" s="67">
        <f ca="1">IF(LEN(INDIRECT(ADDRESS(ROW()-1, COLUMN())))=1,"",INDIRECT(ADDRESS(23,6))-INDIRECT(ADDRESS(23,7)))</f>
        <v>2</v>
      </c>
      <c r="L9" s="17">
        <f ca="1">IF(LEN(INDIRECT(ADDRESS(ROW()-1, COLUMN())))=1,"",INDIRECT(ADDRESS(28,7))-INDIRECT(ADDRESS(28,6)))</f>
        <v>1</v>
      </c>
      <c r="M9" s="151"/>
      <c r="N9" s="16">
        <f ca="1">IF(COUNT(F9:L9)=0,"",SUM(F9:L9))</f>
        <v>38</v>
      </c>
      <c r="O9" s="221"/>
    </row>
    <row r="10" spans="1:16" ht="24" customHeight="1" x14ac:dyDescent="0.25">
      <c r="A10" s="5"/>
      <c r="B10" s="139">
        <v>4</v>
      </c>
      <c r="C10" s="136" t="s">
        <v>97</v>
      </c>
      <c r="D10" s="137"/>
      <c r="E10" s="138"/>
      <c r="F10" s="12" t="str">
        <f ca="1">INDIRECT(ADDRESS(38,7))&amp;":"&amp;INDIRECT(ADDRESS(38,6))</f>
        <v>13:4</v>
      </c>
      <c r="G10" s="7" t="str">
        <f ca="1">INDIRECT(ADDRESS(42,6))&amp;":"&amp;INDIRECT(ADDRESS(42,7))</f>
        <v>13:1</v>
      </c>
      <c r="H10" s="7" t="str">
        <f ca="1">INDIRECT(ADDRESS(49,7))&amp;":"&amp;INDIRECT(ADDRESS(49,6))</f>
        <v>9:13</v>
      </c>
      <c r="I10" s="8"/>
      <c r="J10" s="7" t="str">
        <f ca="1">INDIRECT(ADDRESS(24,6))&amp;":"&amp;INDIRECT(ADDRESS(24,7))</f>
        <v>13:8</v>
      </c>
      <c r="K10" s="68" t="str">
        <f ca="1">INDIRECT(ADDRESS(27,7))&amp;":"&amp;INDIRECT(ADDRESS(27,6))</f>
        <v>13:6</v>
      </c>
      <c r="L10" s="11" t="str">
        <f ca="1">INDIRECT(ADDRESS(33,6))&amp;":"&amp;INDIRECT(ADDRESS(33,7))</f>
        <v>13:7</v>
      </c>
      <c r="M10" s="151">
        <f ca="1">IF(COUNT(F11:L11)=0,"",COUNTIF(F11:L11,"&gt;0")+0.5*COUNTIF(F11:L11,0))</f>
        <v>5</v>
      </c>
      <c r="N10" s="16"/>
      <c r="O10" s="246">
        <v>2</v>
      </c>
    </row>
    <row r="11" spans="1:16" ht="24" customHeight="1" x14ac:dyDescent="0.25">
      <c r="A11" s="5"/>
      <c r="B11" s="132"/>
      <c r="C11" s="136"/>
      <c r="D11" s="137"/>
      <c r="E11" s="138"/>
      <c r="F11" s="22">
        <f ca="1">IF(LEN(INDIRECT(ADDRESS(ROW()-1, COLUMN())))=1,"",INDIRECT(ADDRESS(38,7))-INDIRECT(ADDRESS(38,6)))</f>
        <v>9</v>
      </c>
      <c r="G11" s="16">
        <f ca="1">IF(LEN(INDIRECT(ADDRESS(ROW()-1, COLUMN())))=1,"",INDIRECT(ADDRESS(42,6))-INDIRECT(ADDRESS(42,7)))</f>
        <v>12</v>
      </c>
      <c r="H11" s="16">
        <f ca="1">IF(LEN(INDIRECT(ADDRESS(ROW()-1, COLUMN())))=1,"",INDIRECT(ADDRESS(49,7))-INDIRECT(ADDRESS(49,6)))</f>
        <v>-4</v>
      </c>
      <c r="I11" s="14"/>
      <c r="J11" s="16">
        <f ca="1">IF(LEN(INDIRECT(ADDRESS(ROW()-1, COLUMN())))=1,"",INDIRECT(ADDRESS(24,6))-INDIRECT(ADDRESS(24,7)))</f>
        <v>5</v>
      </c>
      <c r="K11" s="67">
        <f ca="1">IF(LEN(INDIRECT(ADDRESS(ROW()-1, COLUMN())))=1,"",INDIRECT(ADDRESS(27,7))-INDIRECT(ADDRESS(27,6)))</f>
        <v>7</v>
      </c>
      <c r="L11" s="17">
        <f ca="1">IF(LEN(INDIRECT(ADDRESS(ROW()-1, COLUMN())))=1,"",INDIRECT(ADDRESS(33,6))-INDIRECT(ADDRESS(33,7)))</f>
        <v>6</v>
      </c>
      <c r="M11" s="151"/>
      <c r="N11" s="16">
        <f ca="1">IF(COUNT(F11:L11)=0,"",SUM(F11:L11))</f>
        <v>35</v>
      </c>
      <c r="O11" s="221"/>
    </row>
    <row r="12" spans="1:16" ht="24" customHeight="1" x14ac:dyDescent="0.25">
      <c r="A12" s="5"/>
      <c r="B12" s="139">
        <v>5</v>
      </c>
      <c r="C12" s="140" t="s">
        <v>113</v>
      </c>
      <c r="D12" s="141"/>
      <c r="E12" s="142"/>
      <c r="F12" s="12" t="str">
        <f ca="1">INDIRECT(ADDRESS(43,6))&amp;":"&amp;INDIRECT(ADDRESS(43,7))</f>
        <v>13:5</v>
      </c>
      <c r="G12" s="7" t="str">
        <f ca="1">INDIRECT(ADDRESS(48,7))&amp;":"&amp;INDIRECT(ADDRESS(48,6))</f>
        <v>7:13</v>
      </c>
      <c r="H12" s="7" t="str">
        <f ca="1">INDIRECT(ADDRESS(52,6))&amp;":"&amp;INDIRECT(ADDRESS(52,7))</f>
        <v>2:13</v>
      </c>
      <c r="I12" s="7" t="str">
        <f ca="1">INDIRECT(ADDRESS(24,7))&amp;":"&amp;INDIRECT(ADDRESS(24,6))</f>
        <v>8:13</v>
      </c>
      <c r="J12" s="8"/>
      <c r="K12" s="68" t="str">
        <f ca="1">INDIRECT(ADDRESS(34,6))&amp;":"&amp;INDIRECT(ADDRESS(34,7))</f>
        <v>6:13</v>
      </c>
      <c r="L12" s="11" t="str">
        <f ca="1">INDIRECT(ADDRESS(37,7))&amp;":"&amp;INDIRECT(ADDRESS(37,6))</f>
        <v>7:13</v>
      </c>
      <c r="M12" s="151">
        <f ca="1">IF(COUNT(F13:L13)=0,"",COUNTIF(F13:L13,"&gt;0")+0.5*COUNTIF(F13:L13,0))</f>
        <v>1</v>
      </c>
      <c r="N12" s="16"/>
      <c r="O12" s="246">
        <v>6</v>
      </c>
    </row>
    <row r="13" spans="1:16" ht="24" customHeight="1" x14ac:dyDescent="0.25">
      <c r="A13" s="5"/>
      <c r="B13" s="132"/>
      <c r="C13" s="140"/>
      <c r="D13" s="141"/>
      <c r="E13" s="142"/>
      <c r="F13" s="22">
        <f ca="1">IF(LEN(INDIRECT(ADDRESS(ROW()-1, COLUMN())))=1,"",INDIRECT(ADDRESS(43,6))-INDIRECT(ADDRESS(43,7)))</f>
        <v>8</v>
      </c>
      <c r="G13" s="16">
        <f ca="1">IF(LEN(INDIRECT(ADDRESS(ROW()-1, COLUMN())))=1,"",INDIRECT(ADDRESS(48,7))-INDIRECT(ADDRESS(48,6)))</f>
        <v>-6</v>
      </c>
      <c r="H13" s="16">
        <f ca="1">IF(LEN(INDIRECT(ADDRESS(ROW()-1, COLUMN())))=1,"",INDIRECT(ADDRESS(52,6))-INDIRECT(ADDRESS(52,7)))</f>
        <v>-11</v>
      </c>
      <c r="I13" s="16">
        <f ca="1">IF(LEN(INDIRECT(ADDRESS(ROW()-1, COLUMN())))=1,"",INDIRECT(ADDRESS(24,7))-INDIRECT(ADDRESS(24,6)))</f>
        <v>-5</v>
      </c>
      <c r="J13" s="14"/>
      <c r="K13" s="67">
        <f ca="1">IF(LEN(INDIRECT(ADDRESS(ROW()-1, COLUMN())))=1,"",INDIRECT(ADDRESS(34,6))-INDIRECT(ADDRESS(34,7)))</f>
        <v>-7</v>
      </c>
      <c r="L13" s="17">
        <f ca="1">IF(LEN(INDIRECT(ADDRESS(ROW()-1, COLUMN())))=1,"",INDIRECT(ADDRESS(37,7))-INDIRECT(ADDRESS(37,6)))</f>
        <v>-6</v>
      </c>
      <c r="M13" s="151"/>
      <c r="N13" s="16">
        <f ca="1">IF(COUNT(F13:L13)=0,"",SUM(F13:L13))</f>
        <v>-27</v>
      </c>
      <c r="O13" s="221"/>
    </row>
    <row r="14" spans="1:16" ht="24" customHeight="1" x14ac:dyDescent="0.25">
      <c r="A14" s="5"/>
      <c r="B14" s="139">
        <v>6</v>
      </c>
      <c r="C14" s="140" t="s">
        <v>98</v>
      </c>
      <c r="D14" s="141"/>
      <c r="E14" s="142"/>
      <c r="F14" s="12" t="str">
        <f ca="1">INDIRECT(ADDRESS(47,7))&amp;":"&amp;INDIRECT(ADDRESS(47,6))</f>
        <v>13:3</v>
      </c>
      <c r="G14" s="7" t="str">
        <f ca="1">INDIRECT(ADDRESS(53,6))&amp;":"&amp;INDIRECT(ADDRESS(53,7))</f>
        <v>13:5</v>
      </c>
      <c r="H14" s="7" t="str">
        <f ca="1">INDIRECT(ADDRESS(23,7))&amp;":"&amp;INDIRECT(ADDRESS(23,6))</f>
        <v>11:13</v>
      </c>
      <c r="I14" s="7" t="str">
        <f ca="1">INDIRECT(ADDRESS(27,6))&amp;":"&amp;INDIRECT(ADDRESS(27,7))</f>
        <v>6:13</v>
      </c>
      <c r="J14" s="7" t="str">
        <f ca="1">INDIRECT(ADDRESS(34,7))&amp;":"&amp;INDIRECT(ADDRESS(34,6))</f>
        <v>13:6</v>
      </c>
      <c r="K14" s="69"/>
      <c r="L14" s="29" t="str">
        <f ca="1">INDIRECT(ADDRESS(44,6))&amp;":"&amp;INDIRECT(ADDRESS(44,7))</f>
        <v>7:13</v>
      </c>
      <c r="M14" s="151">
        <f ca="1">IF(COUNT(F15:L15)=0,"",COUNTIF(F15:L15,"&gt;0")+0.5*COUNTIF(F15:L15,0))</f>
        <v>3</v>
      </c>
      <c r="N14" s="16"/>
      <c r="O14" s="246">
        <v>4</v>
      </c>
    </row>
    <row r="15" spans="1:16" ht="24" customHeight="1" x14ac:dyDescent="0.25">
      <c r="A15" s="5"/>
      <c r="B15" s="132"/>
      <c r="C15" s="140"/>
      <c r="D15" s="141"/>
      <c r="E15" s="142"/>
      <c r="F15" s="22">
        <f ca="1">IF(LEN(INDIRECT(ADDRESS(ROW()-1, COLUMN())))=1,"",INDIRECT(ADDRESS(47,7))-INDIRECT(ADDRESS(47,6)))</f>
        <v>10</v>
      </c>
      <c r="G15" s="16">
        <f ca="1">IF(LEN(INDIRECT(ADDRESS(ROW()-1, COLUMN())))=1,"",INDIRECT(ADDRESS(53,6))-INDIRECT(ADDRESS(53,7)))</f>
        <v>8</v>
      </c>
      <c r="H15" s="16">
        <f ca="1">IF(LEN(INDIRECT(ADDRESS(ROW()-1, COLUMN())))=1,"",INDIRECT(ADDRESS(23,7))-INDIRECT(ADDRESS(23,6)))</f>
        <v>-2</v>
      </c>
      <c r="I15" s="16">
        <f ca="1">IF(LEN(INDIRECT(ADDRESS(ROW()-1, COLUMN())))=1,"",INDIRECT(ADDRESS(27,6))-INDIRECT(ADDRESS(27,7)))</f>
        <v>-7</v>
      </c>
      <c r="J15" s="16">
        <f ca="1">IF(LEN(INDIRECT(ADDRESS(ROW()-1, COLUMN())))=1,"",INDIRECT(ADDRESS(34,7))-INDIRECT(ADDRESS(34,6)))</f>
        <v>7</v>
      </c>
      <c r="K15" s="70"/>
      <c r="L15" s="71">
        <f ca="1">IF(LEN(INDIRECT(ADDRESS(ROW()-1, COLUMN())))=1,"",INDIRECT(ADDRESS(44,6))-INDIRECT(ADDRESS(44,7)))</f>
        <v>-6</v>
      </c>
      <c r="M15" s="151"/>
      <c r="N15" s="16">
        <f ca="1">IF(COUNT(F15:L15)=0,"",SUM(F15:L15))</f>
        <v>10</v>
      </c>
      <c r="O15" s="221"/>
    </row>
    <row r="16" spans="1:16" ht="24" customHeight="1" x14ac:dyDescent="0.25">
      <c r="A16" s="5"/>
      <c r="B16" s="240">
        <v>7</v>
      </c>
      <c r="C16" s="260" t="s">
        <v>99</v>
      </c>
      <c r="D16" s="261"/>
      <c r="E16" s="262"/>
      <c r="F16" s="72" t="str">
        <f ca="1">INDIRECT(ADDRESS(54,6))&amp;":"&amp;INDIRECT(ADDRESS(54,7))</f>
        <v>13:12</v>
      </c>
      <c r="G16" s="73" t="str">
        <f ca="1">INDIRECT(ADDRESS(22,7))&amp;":"&amp;INDIRECT(ADDRESS(22,6))</f>
        <v>10:13</v>
      </c>
      <c r="H16" s="73" t="str">
        <f ca="1">INDIRECT(ADDRESS(28,6))&amp;":"&amp;INDIRECT(ADDRESS(28,7))</f>
        <v>12:13</v>
      </c>
      <c r="I16" s="73" t="str">
        <f ca="1">INDIRECT(ADDRESS(33,7))&amp;":"&amp;INDIRECT(ADDRESS(33,6))</f>
        <v>7:13</v>
      </c>
      <c r="J16" s="73" t="str">
        <f ca="1">INDIRECT(ADDRESS(37,6))&amp;":"&amp;INDIRECT(ADDRESS(37,7))</f>
        <v>13:7</v>
      </c>
      <c r="K16" s="74" t="str">
        <f ca="1">INDIRECT(ADDRESS(44,7))&amp;":"&amp;INDIRECT(ADDRESS(44,6))</f>
        <v>13:7</v>
      </c>
      <c r="L16" s="75"/>
      <c r="M16" s="151">
        <f ca="1">IF(COUNT(F17:L17)=0,"",COUNTIF(F17:L17,"&gt;0")+0.5*COUNTIF(F17:L17,0))</f>
        <v>3</v>
      </c>
      <c r="N16" s="76"/>
      <c r="O16" s="220">
        <v>3</v>
      </c>
      <c r="P16" t="s">
        <v>134</v>
      </c>
    </row>
    <row r="17" spans="1:16" ht="24" customHeight="1" thickBot="1" x14ac:dyDescent="0.3">
      <c r="A17" s="5"/>
      <c r="B17" s="143"/>
      <c r="C17" s="167"/>
      <c r="D17" s="168"/>
      <c r="E17" s="169"/>
      <c r="F17" s="19">
        <f ca="1">IF(LEN(INDIRECT(ADDRESS(ROW()-1, COLUMN())))=1,"",INDIRECT(ADDRESS(54,6))-INDIRECT(ADDRESS(54,7)))</f>
        <v>1</v>
      </c>
      <c r="G17" s="18">
        <f ca="1">IF(LEN(INDIRECT(ADDRESS(ROW()-1, COLUMN())))=1,"",INDIRECT(ADDRESS(22,7))-INDIRECT(ADDRESS(22,6)))</f>
        <v>-3</v>
      </c>
      <c r="H17" s="18">
        <f ca="1">IF(LEN(INDIRECT(ADDRESS(ROW()-1, COLUMN())))=1,"",INDIRECT(ADDRESS(28,6))-INDIRECT(ADDRESS(28,7)))</f>
        <v>-1</v>
      </c>
      <c r="I17" s="18">
        <f ca="1">IF(LEN(INDIRECT(ADDRESS(ROW()-1, COLUMN())))=1,"",INDIRECT(ADDRESS(33,7))-INDIRECT(ADDRESS(33,6)))</f>
        <v>-6</v>
      </c>
      <c r="J17" s="18">
        <f ca="1">IF(LEN(INDIRECT(ADDRESS(ROW()-1, COLUMN())))=1,"",INDIRECT(ADDRESS(37,6))-INDIRECT(ADDRESS(37,7)))</f>
        <v>6</v>
      </c>
      <c r="K17" s="77">
        <f ca="1">IF(LEN(INDIRECT(ADDRESS(ROW()-1, COLUMN())))=1,"",INDIRECT(ADDRESS(44,7))-INDIRECT(ADDRESS(44,6)))</f>
        <v>6</v>
      </c>
      <c r="L17" s="15"/>
      <c r="M17" s="156"/>
      <c r="N17" s="18">
        <f ca="1">IF(COUNT(F17:L17)=0,"",SUM(F17:L17))</f>
        <v>3</v>
      </c>
      <c r="O17" s="247"/>
      <c r="P17" s="78">
        <v>0.2590277777777778</v>
      </c>
    </row>
    <row r="18" spans="1:16" x14ac:dyDescent="0.25">
      <c r="M18"/>
    </row>
    <row r="19" spans="1:16" x14ac:dyDescent="0.25">
      <c r="M19"/>
    </row>
    <row r="20" spans="1:16" x14ac:dyDescent="0.25">
      <c r="M20"/>
    </row>
    <row r="21" spans="1:16" ht="30" customHeight="1" thickBot="1" x14ac:dyDescent="0.3">
      <c r="B21" s="147" t="s">
        <v>4</v>
      </c>
      <c r="C21" s="147"/>
      <c r="D21" s="147"/>
      <c r="E21" s="147"/>
      <c r="F21" s="147"/>
      <c r="G21" s="147"/>
      <c r="H21" s="147"/>
      <c r="I21" s="147"/>
      <c r="J21" s="147"/>
      <c r="K21" s="147"/>
      <c r="M21"/>
    </row>
    <row r="22" spans="1:16" ht="30" customHeight="1" thickBot="1" x14ac:dyDescent="0.3">
      <c r="B22" s="5">
        <v>2</v>
      </c>
      <c r="C22" s="177" t="str">
        <f ca="1">IF(ISBLANK(INDIRECT(ADDRESS(B22*2+2,3))),"",INDIRECT(ADDRESS(B22*2+2,3)))</f>
        <v>Душечкин Роман</v>
      </c>
      <c r="D22" s="177"/>
      <c r="E22" s="178"/>
      <c r="F22" s="24">
        <v>13</v>
      </c>
      <c r="G22" s="25">
        <v>10</v>
      </c>
      <c r="H22" s="181" t="str">
        <f ca="1">IF(ISBLANK(INDIRECT(ADDRESS(K22*2+2,3))),"",INDIRECT(ADDRESS(K22*2+2,3)))</f>
        <v>Шундрин Алексей</v>
      </c>
      <c r="I22" s="177"/>
      <c r="J22" s="177"/>
      <c r="K22" s="5">
        <v>7</v>
      </c>
      <c r="L22" s="27" t="s">
        <v>10</v>
      </c>
      <c r="M22" s="26"/>
    </row>
    <row r="23" spans="1:16" ht="30" customHeight="1" thickBot="1" x14ac:dyDescent="0.3">
      <c r="B23" s="5">
        <v>3</v>
      </c>
      <c r="C23" s="177" t="str">
        <f ca="1">IF(ISBLANK(INDIRECT(ADDRESS(B23*2+2,3))),"",INDIRECT(ADDRESS(B23*2+2,3)))</f>
        <v>Трутнев Евгений</v>
      </c>
      <c r="D23" s="177"/>
      <c r="E23" s="178"/>
      <c r="F23" s="24">
        <v>13</v>
      </c>
      <c r="G23" s="25">
        <v>11</v>
      </c>
      <c r="H23" s="181" t="str">
        <f ca="1">IF(ISBLANK(INDIRECT(ADDRESS(K23*2+2,3))),"",INDIRECT(ADDRESS(K23*2+2,3)))</f>
        <v>Михеенко Алексей</v>
      </c>
      <c r="I23" s="177"/>
      <c r="J23" s="177"/>
      <c r="K23" s="5">
        <v>6</v>
      </c>
      <c r="L23" s="27" t="s">
        <v>10</v>
      </c>
      <c r="M23" s="26"/>
    </row>
    <row r="24" spans="1:16" ht="30" customHeight="1" thickBot="1" x14ac:dyDescent="0.3">
      <c r="B24" s="5">
        <v>4</v>
      </c>
      <c r="C24" s="177" t="str">
        <f ca="1">IF(ISBLANK(INDIRECT(ADDRESS(B24*2+2,3))),"",INDIRECT(ADDRESS(B24*2+2,3)))</f>
        <v>Шундрин Михаил</v>
      </c>
      <c r="D24" s="177"/>
      <c r="E24" s="178"/>
      <c r="F24" s="24">
        <v>13</v>
      </c>
      <c r="G24" s="25">
        <v>8</v>
      </c>
      <c r="H24" s="181" t="str">
        <f ca="1">IF(ISBLANK(INDIRECT(ADDRESS(K24*2+2,3))),"",INDIRECT(ADDRESS(K24*2+2,3)))</f>
        <v>Зюзин Игорь</v>
      </c>
      <c r="I24" s="177"/>
      <c r="J24" s="177"/>
      <c r="K24" s="5">
        <v>5</v>
      </c>
      <c r="L24" s="27" t="s">
        <v>10</v>
      </c>
      <c r="M24" s="26"/>
    </row>
    <row r="25" spans="1:16" ht="30" customHeight="1" x14ac:dyDescent="0.25"/>
    <row r="26" spans="1:16" ht="30" customHeight="1" thickBot="1" x14ac:dyDescent="0.3">
      <c r="B26" s="147" t="s">
        <v>5</v>
      </c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6" ht="30" customHeight="1" thickBot="1" x14ac:dyDescent="0.3">
      <c r="B27" s="5">
        <v>6</v>
      </c>
      <c r="C27" s="177" t="str">
        <f ca="1">IF(ISBLANK(INDIRECT(ADDRESS(B27*2+2,3))),"",INDIRECT(ADDRESS(B27*2+2,3)))</f>
        <v>Михеенко Алексей</v>
      </c>
      <c r="D27" s="177"/>
      <c r="E27" s="178"/>
      <c r="F27" s="24">
        <v>6</v>
      </c>
      <c r="G27" s="25">
        <v>13</v>
      </c>
      <c r="H27" s="181" t="str">
        <f ca="1">IF(ISBLANK(INDIRECT(ADDRESS(K27*2+2,3))),"",INDIRECT(ADDRESS(K27*2+2,3)))</f>
        <v>Шундрин Михаил</v>
      </c>
      <c r="I27" s="177"/>
      <c r="J27" s="177"/>
      <c r="K27" s="5">
        <v>4</v>
      </c>
      <c r="L27" s="27" t="s">
        <v>10</v>
      </c>
      <c r="M27" s="26"/>
    </row>
    <row r="28" spans="1:16" ht="30" customHeight="1" thickBot="1" x14ac:dyDescent="0.3">
      <c r="B28" s="5">
        <v>7</v>
      </c>
      <c r="C28" s="177" t="str">
        <f ca="1">IF(ISBLANK(INDIRECT(ADDRESS(B28*2+2,3))),"",INDIRECT(ADDRESS(B28*2+2,3)))</f>
        <v>Шундрин Алексей</v>
      </c>
      <c r="D28" s="177"/>
      <c r="E28" s="178"/>
      <c r="F28" s="24">
        <v>12</v>
      </c>
      <c r="G28" s="25">
        <v>13</v>
      </c>
      <c r="H28" s="181" t="str">
        <f ca="1">IF(ISBLANK(INDIRECT(ADDRESS(K28*2+2,3))),"",INDIRECT(ADDRESS(K28*2+2,3)))</f>
        <v>Трутнев Евгений</v>
      </c>
      <c r="I28" s="177"/>
      <c r="J28" s="177"/>
      <c r="K28" s="5">
        <v>3</v>
      </c>
      <c r="L28" s="27" t="s">
        <v>10</v>
      </c>
      <c r="M28" s="26"/>
    </row>
    <row r="29" spans="1:16" ht="30" customHeight="1" thickBot="1" x14ac:dyDescent="0.3">
      <c r="B29" s="5">
        <v>1</v>
      </c>
      <c r="C29" s="177" t="str">
        <f ca="1">IF(ISBLANK(INDIRECT(ADDRESS(B29*2+2,3))),"",INDIRECT(ADDRESS(B29*2+2,3)))</f>
        <v>Федотовский Максим</v>
      </c>
      <c r="D29" s="177"/>
      <c r="E29" s="178"/>
      <c r="F29" s="24">
        <v>6</v>
      </c>
      <c r="G29" s="25">
        <v>13</v>
      </c>
      <c r="H29" s="181" t="str">
        <f ca="1">IF(ISBLANK(INDIRECT(ADDRESS(K29*2+2,3))),"",INDIRECT(ADDRESS(K29*2+2,3)))</f>
        <v>Душечкин Роман</v>
      </c>
      <c r="I29" s="177"/>
      <c r="J29" s="177"/>
      <c r="K29" s="5">
        <v>2</v>
      </c>
      <c r="L29" s="27" t="s">
        <v>10</v>
      </c>
      <c r="M29" s="26"/>
    </row>
    <row r="30" spans="1:16" ht="30" customHeight="1" x14ac:dyDescent="0.25"/>
    <row r="31" spans="1:16" ht="30" customHeight="1" thickBot="1" x14ac:dyDescent="0.3">
      <c r="B31" s="147" t="s">
        <v>6</v>
      </c>
      <c r="C31" s="147"/>
      <c r="D31" s="147"/>
      <c r="E31" s="147"/>
      <c r="F31" s="147"/>
      <c r="G31" s="147"/>
      <c r="H31" s="147"/>
      <c r="I31" s="147"/>
      <c r="J31" s="147"/>
      <c r="K31" s="147"/>
    </row>
    <row r="32" spans="1:16" ht="30" customHeight="1" thickBot="1" x14ac:dyDescent="0.3">
      <c r="B32" s="5">
        <v>3</v>
      </c>
      <c r="C32" s="177" t="str">
        <f ca="1">IF(ISBLANK(INDIRECT(ADDRESS(B32*2+2,3))),"",INDIRECT(ADDRESS(B32*2+2,3)))</f>
        <v>Трутнев Евгений</v>
      </c>
      <c r="D32" s="177"/>
      <c r="E32" s="178"/>
      <c r="F32" s="24">
        <v>13</v>
      </c>
      <c r="G32" s="25">
        <v>2</v>
      </c>
      <c r="H32" s="181" t="str">
        <f ca="1">IF(ISBLANK(INDIRECT(ADDRESS(K32*2+2,3))),"",INDIRECT(ADDRESS(K32*2+2,3)))</f>
        <v>Федотовский Максим</v>
      </c>
      <c r="I32" s="177"/>
      <c r="J32" s="177"/>
      <c r="K32" s="5">
        <v>1</v>
      </c>
      <c r="L32" s="27" t="s">
        <v>10</v>
      </c>
      <c r="M32" s="26"/>
    </row>
    <row r="33" spans="2:13" ht="30" customHeight="1" thickBot="1" x14ac:dyDescent="0.3">
      <c r="B33" s="5">
        <v>4</v>
      </c>
      <c r="C33" s="177" t="str">
        <f ca="1">IF(ISBLANK(INDIRECT(ADDRESS(B33*2+2,3))),"",INDIRECT(ADDRESS(B33*2+2,3)))</f>
        <v>Шундрин Михаил</v>
      </c>
      <c r="D33" s="177"/>
      <c r="E33" s="178"/>
      <c r="F33" s="24">
        <v>13</v>
      </c>
      <c r="G33" s="25">
        <v>7</v>
      </c>
      <c r="H33" s="181" t="str">
        <f ca="1">IF(ISBLANK(INDIRECT(ADDRESS(K33*2+2,3))),"",INDIRECT(ADDRESS(K33*2+2,3)))</f>
        <v>Шундрин Алексей</v>
      </c>
      <c r="I33" s="177"/>
      <c r="J33" s="177"/>
      <c r="K33" s="5">
        <v>7</v>
      </c>
      <c r="L33" s="27" t="s">
        <v>10</v>
      </c>
      <c r="M33" s="26"/>
    </row>
    <row r="34" spans="2:13" ht="30" customHeight="1" thickBot="1" x14ac:dyDescent="0.3">
      <c r="B34" s="5">
        <v>5</v>
      </c>
      <c r="C34" s="177" t="str">
        <f ca="1">IF(ISBLANK(INDIRECT(ADDRESS(B34*2+2,3))),"",INDIRECT(ADDRESS(B34*2+2,3)))</f>
        <v>Зюзин Игорь</v>
      </c>
      <c r="D34" s="177"/>
      <c r="E34" s="178"/>
      <c r="F34" s="24">
        <v>6</v>
      </c>
      <c r="G34" s="25">
        <v>13</v>
      </c>
      <c r="H34" s="181" t="str">
        <f ca="1">IF(ISBLANK(INDIRECT(ADDRESS(K34*2+2,3))),"",INDIRECT(ADDRESS(K34*2+2,3)))</f>
        <v>Михеенко Алексей</v>
      </c>
      <c r="I34" s="177"/>
      <c r="J34" s="177"/>
      <c r="K34" s="5">
        <v>6</v>
      </c>
      <c r="L34" s="27" t="s">
        <v>10</v>
      </c>
      <c r="M34" s="26"/>
    </row>
    <row r="35" spans="2:13" ht="30" customHeight="1" x14ac:dyDescent="0.25"/>
    <row r="36" spans="2:13" ht="30" customHeight="1" thickBot="1" x14ac:dyDescent="0.3">
      <c r="B36" s="147" t="s">
        <v>7</v>
      </c>
      <c r="C36" s="147"/>
      <c r="D36" s="147"/>
      <c r="E36" s="147"/>
      <c r="F36" s="147"/>
      <c r="G36" s="147"/>
      <c r="H36" s="147"/>
      <c r="I36" s="147"/>
      <c r="J36" s="147"/>
      <c r="K36" s="147"/>
    </row>
    <row r="37" spans="2:13" ht="30" customHeight="1" thickBot="1" x14ac:dyDescent="0.3">
      <c r="B37" s="5">
        <v>7</v>
      </c>
      <c r="C37" s="177" t="str">
        <f ca="1">IF(ISBLANK(INDIRECT(ADDRESS(B37*2+2,3))),"",INDIRECT(ADDRESS(B37*2+2,3)))</f>
        <v>Шундрин Алексей</v>
      </c>
      <c r="D37" s="177"/>
      <c r="E37" s="178"/>
      <c r="F37" s="24">
        <v>13</v>
      </c>
      <c r="G37" s="25">
        <v>7</v>
      </c>
      <c r="H37" s="181" t="str">
        <f ca="1">IF(ISBLANK(INDIRECT(ADDRESS(K37*2+2,3))),"",INDIRECT(ADDRESS(K37*2+2,3)))</f>
        <v>Зюзин Игорь</v>
      </c>
      <c r="I37" s="177"/>
      <c r="J37" s="177"/>
      <c r="K37" s="5">
        <v>5</v>
      </c>
      <c r="L37" s="27" t="s">
        <v>10</v>
      </c>
      <c r="M37" s="26"/>
    </row>
    <row r="38" spans="2:13" ht="30" customHeight="1" thickBot="1" x14ac:dyDescent="0.3">
      <c r="B38" s="5">
        <v>1</v>
      </c>
      <c r="C38" s="177" t="str">
        <f ca="1">IF(ISBLANK(INDIRECT(ADDRESS(B38*2+2,3))),"",INDIRECT(ADDRESS(B38*2+2,3)))</f>
        <v>Федотовский Максим</v>
      </c>
      <c r="D38" s="177"/>
      <c r="E38" s="178"/>
      <c r="F38" s="24">
        <v>4</v>
      </c>
      <c r="G38" s="25">
        <v>13</v>
      </c>
      <c r="H38" s="181" t="str">
        <f ca="1">IF(ISBLANK(INDIRECT(ADDRESS(K38*2+2,3))),"",INDIRECT(ADDRESS(K38*2+2,3)))</f>
        <v>Шундрин Михаил</v>
      </c>
      <c r="I38" s="177"/>
      <c r="J38" s="177"/>
      <c r="K38" s="5">
        <v>4</v>
      </c>
      <c r="L38" s="27" t="s">
        <v>10</v>
      </c>
      <c r="M38" s="26"/>
    </row>
    <row r="39" spans="2:13" ht="30" customHeight="1" thickBot="1" x14ac:dyDescent="0.3">
      <c r="B39" s="5">
        <v>2</v>
      </c>
      <c r="C39" s="177" t="str">
        <f ca="1">IF(ISBLANK(INDIRECT(ADDRESS(B39*2+2,3))),"",INDIRECT(ADDRESS(B39*2+2,3)))</f>
        <v>Душечкин Роман</v>
      </c>
      <c r="D39" s="177"/>
      <c r="E39" s="178"/>
      <c r="F39" s="24">
        <v>4</v>
      </c>
      <c r="G39" s="25">
        <v>13</v>
      </c>
      <c r="H39" s="181" t="str">
        <f ca="1">IF(ISBLANK(INDIRECT(ADDRESS(K39*2+2,3))),"",INDIRECT(ADDRESS(K39*2+2,3)))</f>
        <v>Трутнев Евгений</v>
      </c>
      <c r="I39" s="177"/>
      <c r="J39" s="177"/>
      <c r="K39" s="5">
        <v>3</v>
      </c>
      <c r="L39" s="27" t="s">
        <v>10</v>
      </c>
      <c r="M39" s="26"/>
    </row>
    <row r="40" spans="2:13" ht="30" customHeight="1" x14ac:dyDescent="0.25"/>
    <row r="41" spans="2:13" ht="30" customHeight="1" thickBot="1" x14ac:dyDescent="0.3">
      <c r="B41" s="147" t="s">
        <v>8</v>
      </c>
      <c r="C41" s="147"/>
      <c r="D41" s="147"/>
      <c r="E41" s="147"/>
      <c r="F41" s="147"/>
      <c r="G41" s="147"/>
      <c r="H41" s="147"/>
      <c r="I41" s="147"/>
      <c r="J41" s="147"/>
      <c r="K41" s="147"/>
    </row>
    <row r="42" spans="2:13" ht="30" customHeight="1" thickBot="1" x14ac:dyDescent="0.3">
      <c r="B42" s="5">
        <v>4</v>
      </c>
      <c r="C42" s="177" t="str">
        <f ca="1">IF(ISBLANK(INDIRECT(ADDRESS(B42*2+2,3))),"",INDIRECT(ADDRESS(B42*2+2,3)))</f>
        <v>Шундрин Михаил</v>
      </c>
      <c r="D42" s="177"/>
      <c r="E42" s="178"/>
      <c r="F42" s="24">
        <v>13</v>
      </c>
      <c r="G42" s="25">
        <v>1</v>
      </c>
      <c r="H42" s="181" t="str">
        <f ca="1">IF(ISBLANK(INDIRECT(ADDRESS(K42*2+2,3))),"",INDIRECT(ADDRESS(K42*2+2,3)))</f>
        <v>Душечкин Роман</v>
      </c>
      <c r="I42" s="177"/>
      <c r="J42" s="177"/>
      <c r="K42" s="5">
        <v>2</v>
      </c>
      <c r="L42" s="27" t="s">
        <v>10</v>
      </c>
      <c r="M42" s="26"/>
    </row>
    <row r="43" spans="2:13" ht="30" customHeight="1" thickBot="1" x14ac:dyDescent="0.3">
      <c r="B43" s="5">
        <v>5</v>
      </c>
      <c r="C43" s="177" t="str">
        <f ca="1">IF(ISBLANK(INDIRECT(ADDRESS(B43*2+2,3))),"",INDIRECT(ADDRESS(B43*2+2,3)))</f>
        <v>Зюзин Игорь</v>
      </c>
      <c r="D43" s="177"/>
      <c r="E43" s="178"/>
      <c r="F43" s="24">
        <v>13</v>
      </c>
      <c r="G43" s="25">
        <v>5</v>
      </c>
      <c r="H43" s="181" t="str">
        <f ca="1">IF(ISBLANK(INDIRECT(ADDRESS(K43*2+2,3))),"",INDIRECT(ADDRESS(K43*2+2,3)))</f>
        <v>Федотовский Максим</v>
      </c>
      <c r="I43" s="177"/>
      <c r="J43" s="177"/>
      <c r="K43" s="5">
        <v>1</v>
      </c>
      <c r="L43" s="27" t="s">
        <v>10</v>
      </c>
      <c r="M43" s="26"/>
    </row>
    <row r="44" spans="2:13" ht="30" customHeight="1" thickBot="1" x14ac:dyDescent="0.3">
      <c r="B44" s="5">
        <v>6</v>
      </c>
      <c r="C44" s="177" t="str">
        <f ca="1">IF(ISBLANK(INDIRECT(ADDRESS(B44*2+2,3))),"",INDIRECT(ADDRESS(B44*2+2,3)))</f>
        <v>Михеенко Алексей</v>
      </c>
      <c r="D44" s="177"/>
      <c r="E44" s="178"/>
      <c r="F44" s="24">
        <v>7</v>
      </c>
      <c r="G44" s="25">
        <v>13</v>
      </c>
      <c r="H44" s="181" t="str">
        <f ca="1">IF(ISBLANK(INDIRECT(ADDRESS(K44*2+2,3))),"",INDIRECT(ADDRESS(K44*2+2,3)))</f>
        <v>Шундрин Алексей</v>
      </c>
      <c r="I44" s="177"/>
      <c r="J44" s="177"/>
      <c r="K44" s="5">
        <v>7</v>
      </c>
      <c r="L44" s="27" t="s">
        <v>10</v>
      </c>
      <c r="M44" s="26"/>
    </row>
    <row r="45" spans="2:13" ht="30" customHeight="1" x14ac:dyDescent="0.25"/>
    <row r="46" spans="2:13" ht="30" customHeight="1" thickBot="1" x14ac:dyDescent="0.3">
      <c r="B46" s="147" t="s">
        <v>94</v>
      </c>
      <c r="C46" s="147"/>
      <c r="D46" s="147"/>
      <c r="E46" s="147"/>
      <c r="F46" s="147"/>
      <c r="G46" s="147"/>
      <c r="H46" s="147"/>
      <c r="I46" s="147"/>
      <c r="J46" s="147"/>
      <c r="K46" s="147"/>
    </row>
    <row r="47" spans="2:13" ht="30" customHeight="1" thickBot="1" x14ac:dyDescent="0.3">
      <c r="B47" s="5">
        <v>1</v>
      </c>
      <c r="C47" s="177" t="str">
        <f ca="1">IF(ISBLANK(INDIRECT(ADDRESS(B47*2+2,3))),"",INDIRECT(ADDRESS(B47*2+2,3)))</f>
        <v>Федотовский Максим</v>
      </c>
      <c r="D47" s="177"/>
      <c r="E47" s="178"/>
      <c r="F47" s="24">
        <v>3</v>
      </c>
      <c r="G47" s="25">
        <v>13</v>
      </c>
      <c r="H47" s="181" t="str">
        <f ca="1">IF(ISBLANK(INDIRECT(ADDRESS(K47*2+2,3))),"",INDIRECT(ADDRESS(K47*2+2,3)))</f>
        <v>Михеенко Алексей</v>
      </c>
      <c r="I47" s="177"/>
      <c r="J47" s="177"/>
      <c r="K47" s="5">
        <v>6</v>
      </c>
      <c r="L47" s="27" t="s">
        <v>10</v>
      </c>
      <c r="M47" s="26"/>
    </row>
    <row r="48" spans="2:13" ht="30" customHeight="1" thickBot="1" x14ac:dyDescent="0.3">
      <c r="B48" s="5">
        <v>2</v>
      </c>
      <c r="C48" s="177" t="str">
        <f ca="1">IF(ISBLANK(INDIRECT(ADDRESS(B48*2+2,3))),"",INDIRECT(ADDRESS(B48*2+2,3)))</f>
        <v>Душечкин Роман</v>
      </c>
      <c r="D48" s="177"/>
      <c r="E48" s="178"/>
      <c r="F48" s="24">
        <v>13</v>
      </c>
      <c r="G48" s="25">
        <v>7</v>
      </c>
      <c r="H48" s="181" t="str">
        <f ca="1">IF(ISBLANK(INDIRECT(ADDRESS(K48*2+2,3))),"",INDIRECT(ADDRESS(K48*2+2,3)))</f>
        <v>Зюзин Игорь</v>
      </c>
      <c r="I48" s="177"/>
      <c r="J48" s="177"/>
      <c r="K48" s="5">
        <v>5</v>
      </c>
      <c r="L48" s="27" t="s">
        <v>10</v>
      </c>
      <c r="M48" s="26"/>
    </row>
    <row r="49" spans="2:13" ht="30" customHeight="1" thickBot="1" x14ac:dyDescent="0.3">
      <c r="B49" s="5">
        <v>3</v>
      </c>
      <c r="C49" s="177" t="str">
        <f ca="1">IF(ISBLANK(INDIRECT(ADDRESS(B49*2+2,3))),"",INDIRECT(ADDRESS(B49*2+2,3)))</f>
        <v>Трутнев Евгений</v>
      </c>
      <c r="D49" s="177"/>
      <c r="E49" s="178"/>
      <c r="F49" s="24">
        <v>13</v>
      </c>
      <c r="G49" s="25">
        <v>9</v>
      </c>
      <c r="H49" s="181" t="str">
        <f ca="1">IF(ISBLANK(INDIRECT(ADDRESS(K49*2+2,3))),"",INDIRECT(ADDRESS(K49*2+2,3)))</f>
        <v>Шундрин Михаил</v>
      </c>
      <c r="I49" s="177"/>
      <c r="J49" s="177"/>
      <c r="K49" s="5">
        <v>4</v>
      </c>
      <c r="L49" s="27" t="s">
        <v>10</v>
      </c>
      <c r="M49" s="26"/>
    </row>
    <row r="50" spans="2:13" ht="30" customHeight="1" x14ac:dyDescent="0.25"/>
    <row r="51" spans="2:13" ht="30" customHeight="1" thickBot="1" x14ac:dyDescent="0.3">
      <c r="B51" s="147" t="s">
        <v>95</v>
      </c>
      <c r="C51" s="147"/>
      <c r="D51" s="147"/>
      <c r="E51" s="147"/>
      <c r="F51" s="147"/>
      <c r="G51" s="147"/>
      <c r="H51" s="147"/>
      <c r="I51" s="147"/>
      <c r="J51" s="147"/>
      <c r="K51" s="147"/>
    </row>
    <row r="52" spans="2:13" ht="30" customHeight="1" thickBot="1" x14ac:dyDescent="0.3">
      <c r="B52" s="5">
        <v>5</v>
      </c>
      <c r="C52" s="177" t="str">
        <f ca="1">IF(ISBLANK(INDIRECT(ADDRESS(B52*2+2,3))),"",INDIRECT(ADDRESS(B52*2+2,3)))</f>
        <v>Зюзин Игорь</v>
      </c>
      <c r="D52" s="177"/>
      <c r="E52" s="178"/>
      <c r="F52" s="24">
        <v>2</v>
      </c>
      <c r="G52" s="25">
        <v>13</v>
      </c>
      <c r="H52" s="181" t="str">
        <f ca="1">IF(ISBLANK(INDIRECT(ADDRESS(K52*2+2,3))),"",INDIRECT(ADDRESS(K52*2+2,3)))</f>
        <v>Трутнев Евгений</v>
      </c>
      <c r="I52" s="177"/>
      <c r="J52" s="177"/>
      <c r="K52" s="5">
        <v>3</v>
      </c>
      <c r="L52" s="27" t="s">
        <v>10</v>
      </c>
      <c r="M52" s="26"/>
    </row>
    <row r="53" spans="2:13" ht="30" customHeight="1" thickBot="1" x14ac:dyDescent="0.3">
      <c r="B53" s="5">
        <v>6</v>
      </c>
      <c r="C53" s="177" t="str">
        <f ca="1">IF(ISBLANK(INDIRECT(ADDRESS(B53*2+2,3))),"",INDIRECT(ADDRESS(B53*2+2,3)))</f>
        <v>Михеенко Алексей</v>
      </c>
      <c r="D53" s="177"/>
      <c r="E53" s="178"/>
      <c r="F53" s="24">
        <v>13</v>
      </c>
      <c r="G53" s="25">
        <v>5</v>
      </c>
      <c r="H53" s="181" t="str">
        <f ca="1">IF(ISBLANK(INDIRECT(ADDRESS(K53*2+2,3))),"",INDIRECT(ADDRESS(K53*2+2,3)))</f>
        <v>Душечкин Роман</v>
      </c>
      <c r="I53" s="177"/>
      <c r="J53" s="177"/>
      <c r="K53" s="5">
        <v>2</v>
      </c>
      <c r="L53" s="27" t="s">
        <v>10</v>
      </c>
      <c r="M53" s="26"/>
    </row>
    <row r="54" spans="2:13" ht="30" customHeight="1" thickBot="1" x14ac:dyDescent="0.3">
      <c r="B54" s="5">
        <v>7</v>
      </c>
      <c r="C54" s="177" t="str">
        <f ca="1">IF(ISBLANK(INDIRECT(ADDRESS(B54*2+2,3))),"",INDIRECT(ADDRESS(B54*2+2,3)))</f>
        <v>Шундрин Алексей</v>
      </c>
      <c r="D54" s="177"/>
      <c r="E54" s="178"/>
      <c r="F54" s="24">
        <v>13</v>
      </c>
      <c r="G54" s="25">
        <v>12</v>
      </c>
      <c r="H54" s="181" t="str">
        <f ca="1">IF(ISBLANK(INDIRECT(ADDRESS(K54*2+2,3))),"",INDIRECT(ADDRESS(K54*2+2,3)))</f>
        <v>Федотовский Максим</v>
      </c>
      <c r="I54" s="177"/>
      <c r="J54" s="177"/>
      <c r="K54" s="5">
        <v>1</v>
      </c>
      <c r="L54" s="27" t="s">
        <v>10</v>
      </c>
      <c r="M54" s="26"/>
    </row>
  </sheetData>
  <mergeCells count="79">
    <mergeCell ref="C54:E54"/>
    <mergeCell ref="H54:J54"/>
    <mergeCell ref="B51:K51"/>
    <mergeCell ref="C52:E52"/>
    <mergeCell ref="H52:J52"/>
    <mergeCell ref="C53:E53"/>
    <mergeCell ref="H53:J53"/>
    <mergeCell ref="C47:E47"/>
    <mergeCell ref="H47:J47"/>
    <mergeCell ref="C48:E48"/>
    <mergeCell ref="H48:J48"/>
    <mergeCell ref="C49:E49"/>
    <mergeCell ref="H49:J49"/>
    <mergeCell ref="C43:E43"/>
    <mergeCell ref="H43:J43"/>
    <mergeCell ref="C44:E44"/>
    <mergeCell ref="H44:J44"/>
    <mergeCell ref="B46:K46"/>
    <mergeCell ref="C33:E33"/>
    <mergeCell ref="H33:J33"/>
    <mergeCell ref="C34:E34"/>
    <mergeCell ref="H34:J34"/>
    <mergeCell ref="B36:K36"/>
    <mergeCell ref="O16:O17"/>
    <mergeCell ref="B21:K21"/>
    <mergeCell ref="C23:E23"/>
    <mergeCell ref="H23:J23"/>
    <mergeCell ref="C24:E24"/>
    <mergeCell ref="H24:J24"/>
    <mergeCell ref="C22:E22"/>
    <mergeCell ref="H22:J22"/>
    <mergeCell ref="O10:O11"/>
    <mergeCell ref="M12:M13"/>
    <mergeCell ref="O12:O13"/>
    <mergeCell ref="M14:M15"/>
    <mergeCell ref="O14:O15"/>
    <mergeCell ref="O4:O5"/>
    <mergeCell ref="M6:M7"/>
    <mergeCell ref="O6:O7"/>
    <mergeCell ref="M8:M9"/>
    <mergeCell ref="O8:O9"/>
    <mergeCell ref="B1:K1"/>
    <mergeCell ref="C3:E3"/>
    <mergeCell ref="B4:B5"/>
    <mergeCell ref="C4:E5"/>
    <mergeCell ref="M4:M5"/>
    <mergeCell ref="B6:B7"/>
    <mergeCell ref="C6:E7"/>
    <mergeCell ref="B8:B9"/>
    <mergeCell ref="C8:E9"/>
    <mergeCell ref="B10:B11"/>
    <mergeCell ref="C10:E11"/>
    <mergeCell ref="B12:B13"/>
    <mergeCell ref="C12:E13"/>
    <mergeCell ref="M10:M11"/>
    <mergeCell ref="B16:B17"/>
    <mergeCell ref="C16:E17"/>
    <mergeCell ref="M16:M17"/>
    <mergeCell ref="B14:B15"/>
    <mergeCell ref="C14:E15"/>
    <mergeCell ref="C27:E27"/>
    <mergeCell ref="H27:J27"/>
    <mergeCell ref="C32:E32"/>
    <mergeCell ref="H32:J32"/>
    <mergeCell ref="B26:K26"/>
    <mergeCell ref="C28:E28"/>
    <mergeCell ref="H28:J28"/>
    <mergeCell ref="C29:E29"/>
    <mergeCell ref="H29:J29"/>
    <mergeCell ref="B31:K31"/>
    <mergeCell ref="C42:E42"/>
    <mergeCell ref="H42:J42"/>
    <mergeCell ref="C37:E37"/>
    <mergeCell ref="H37:J37"/>
    <mergeCell ref="C39:E39"/>
    <mergeCell ref="H39:J39"/>
    <mergeCell ref="B41:K41"/>
    <mergeCell ref="C38:E38"/>
    <mergeCell ref="H38:J3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C16" sqref="C16:E17"/>
    </sheetView>
  </sheetViews>
  <sheetFormatPr defaultRowHeight="15" x14ac:dyDescent="0.25"/>
  <cols>
    <col min="1" max="1" width="4" customWidth="1"/>
    <col min="2" max="12" width="10.28515625" customWidth="1"/>
    <col min="13" max="13" width="10.28515625" style="28" customWidth="1"/>
    <col min="14" max="15" width="10.28515625" customWidth="1"/>
  </cols>
  <sheetData>
    <row r="1" spans="1:16" ht="59.25" customHeight="1" x14ac:dyDescent="0.25">
      <c r="B1" s="253" t="s">
        <v>46</v>
      </c>
      <c r="C1" s="253"/>
      <c r="D1" s="253"/>
      <c r="E1" s="253"/>
      <c r="F1" s="253"/>
      <c r="G1" s="253"/>
      <c r="H1" s="253"/>
      <c r="I1" s="253"/>
      <c r="J1" s="253"/>
      <c r="K1" s="253"/>
      <c r="L1" t="s">
        <v>18</v>
      </c>
      <c r="M1"/>
      <c r="N1" s="31">
        <v>46039</v>
      </c>
    </row>
    <row r="2" spans="1:16" ht="15.75" thickBot="1" x14ac:dyDescent="0.3">
      <c r="M2"/>
    </row>
    <row r="3" spans="1:16" ht="30" customHeight="1" thickBot="1" x14ac:dyDescent="0.3">
      <c r="B3" s="65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21">
        <v>7</v>
      </c>
      <c r="M3" s="3" t="s">
        <v>1</v>
      </c>
      <c r="N3" s="1" t="s">
        <v>3</v>
      </c>
      <c r="O3" s="4" t="s">
        <v>2</v>
      </c>
    </row>
    <row r="4" spans="1:16" ht="24" customHeight="1" x14ac:dyDescent="0.25">
      <c r="A4" s="5"/>
      <c r="B4" s="131">
        <v>1</v>
      </c>
      <c r="C4" s="254" t="s">
        <v>114</v>
      </c>
      <c r="D4" s="255"/>
      <c r="E4" s="256"/>
      <c r="F4" s="10"/>
      <c r="G4" s="6" t="str">
        <f ca="1">INDIRECT(ADDRESS(29,6))&amp;":"&amp;INDIRECT(ADDRESS(29,7))</f>
        <v>13:9</v>
      </c>
      <c r="H4" s="6" t="str">
        <f ca="1">INDIRECT(ADDRESS(32,7))&amp;":"&amp;INDIRECT(ADDRESS(32,6))</f>
        <v>2:13</v>
      </c>
      <c r="I4" s="6" t="str">
        <f ca="1">INDIRECT(ADDRESS(38,6))&amp;":"&amp;INDIRECT(ADDRESS(38,7))</f>
        <v>2:13</v>
      </c>
      <c r="J4" s="6" t="str">
        <f ca="1">INDIRECT(ADDRESS(43,7))&amp;":"&amp;INDIRECT(ADDRESS(43,6))</f>
        <v>13:3</v>
      </c>
      <c r="K4" s="66" t="str">
        <f ca="1">INDIRECT(ADDRESS(47,6))&amp;":"&amp;INDIRECT(ADDRESS(47,7))</f>
        <v>13:10</v>
      </c>
      <c r="L4" s="20" t="str">
        <f ca="1">INDIRECT(ADDRESS(54,7))&amp;":"&amp;INDIRECT(ADDRESS(54,6))</f>
        <v>6:13</v>
      </c>
      <c r="M4" s="263">
        <f ca="1">IF(COUNT(F5:L5)=0,"",COUNTIF(F5:L5,"&gt;0")+0.5*COUNTIF(F5:L5,0))</f>
        <v>3</v>
      </c>
      <c r="N4" s="23">
        <v>-4</v>
      </c>
      <c r="O4" s="219">
        <v>5</v>
      </c>
    </row>
    <row r="5" spans="1:16" ht="24" customHeight="1" x14ac:dyDescent="0.25">
      <c r="A5" s="5"/>
      <c r="B5" s="132"/>
      <c r="C5" s="140"/>
      <c r="D5" s="141"/>
      <c r="E5" s="142"/>
      <c r="F5" s="13"/>
      <c r="G5" s="16">
        <f ca="1">IF(LEN(INDIRECT(ADDRESS(ROW()-1, COLUMN())))=1,"",INDIRECT(ADDRESS(29,6))-INDIRECT(ADDRESS(29,7)))</f>
        <v>4</v>
      </c>
      <c r="H5" s="16">
        <f ca="1">IF(LEN(INDIRECT(ADDRESS(ROW()-1, COLUMN())))=1,"",INDIRECT(ADDRESS(32,7))-INDIRECT(ADDRESS(32,6)))</f>
        <v>-11</v>
      </c>
      <c r="I5" s="16">
        <f ca="1">IF(LEN(INDIRECT(ADDRESS(ROW()-1, COLUMN())))=1,"",INDIRECT(ADDRESS(38,6))-INDIRECT(ADDRESS(38,7)))</f>
        <v>-11</v>
      </c>
      <c r="J5" s="16">
        <f ca="1">IF(LEN(INDIRECT(ADDRESS(ROW()-1, COLUMN())))=1,"",INDIRECT(ADDRESS(43,7))-INDIRECT(ADDRESS(43,6)))</f>
        <v>10</v>
      </c>
      <c r="K5" s="67">
        <f ca="1">IF(LEN(INDIRECT(ADDRESS(ROW()-1, COLUMN())))=1,"",INDIRECT(ADDRESS(47,6))-INDIRECT(ADDRESS(47,7)))</f>
        <v>3</v>
      </c>
      <c r="L5" s="17">
        <f ca="1">IF(LEN(INDIRECT(ADDRESS(ROW()-1, COLUMN())))=1,"",INDIRECT(ADDRESS(54,7))-INDIRECT(ADDRESS(54,6)))</f>
        <v>-7</v>
      </c>
      <c r="M5" s="151"/>
      <c r="N5" s="16">
        <f ca="1">IF(COUNT(F5:L5)=0,"",SUM(F5:L5))</f>
        <v>-12</v>
      </c>
      <c r="O5" s="221"/>
    </row>
    <row r="6" spans="1:16" ht="24" customHeight="1" x14ac:dyDescent="0.25">
      <c r="A6" s="5"/>
      <c r="B6" s="139">
        <v>2</v>
      </c>
      <c r="C6" s="140" t="s">
        <v>100</v>
      </c>
      <c r="D6" s="141"/>
      <c r="E6" s="142"/>
      <c r="F6" s="12" t="str">
        <f ca="1">INDIRECT(ADDRESS(29,7))&amp;":"&amp;INDIRECT(ADDRESS(29,6))</f>
        <v>9:13</v>
      </c>
      <c r="G6" s="8"/>
      <c r="H6" s="7" t="str">
        <f ca="1">INDIRECT(ADDRESS(39,6))&amp;":"&amp;INDIRECT(ADDRESS(39,7))</f>
        <v>5:13</v>
      </c>
      <c r="I6" s="7" t="str">
        <f ca="1">INDIRECT(ADDRESS(42,7))&amp;":"&amp;INDIRECT(ADDRESS(42,6))</f>
        <v>7:13</v>
      </c>
      <c r="J6" s="7" t="str">
        <f ca="1">INDIRECT(ADDRESS(48,6))&amp;":"&amp;INDIRECT(ADDRESS(48,7))</f>
        <v>13:12</v>
      </c>
      <c r="K6" s="68" t="str">
        <f ca="1">INDIRECT(ADDRESS(53,7))&amp;":"&amp;INDIRECT(ADDRESS(53,6))</f>
        <v>4:13</v>
      </c>
      <c r="L6" s="11" t="str">
        <f ca="1">INDIRECT(ADDRESS(22,6))&amp;":"&amp;INDIRECT(ADDRESS(22,7))</f>
        <v>13:12</v>
      </c>
      <c r="M6" s="151">
        <f ca="1">IF(COUNT(F7:L7)=0,"",COUNTIF(F7:L7,"&gt;0")+0.5*COUNTIF(F7:L7,0))</f>
        <v>2</v>
      </c>
      <c r="N6" s="16"/>
      <c r="O6" s="246">
        <v>6</v>
      </c>
    </row>
    <row r="7" spans="1:16" ht="24" customHeight="1" x14ac:dyDescent="0.25">
      <c r="A7" s="5"/>
      <c r="B7" s="132"/>
      <c r="C7" s="140"/>
      <c r="D7" s="141"/>
      <c r="E7" s="142"/>
      <c r="F7" s="22">
        <f ca="1">IF(LEN(INDIRECT(ADDRESS(ROW()-1, COLUMN())))=1,"",INDIRECT(ADDRESS(29,7))-INDIRECT(ADDRESS(29,6)))</f>
        <v>-4</v>
      </c>
      <c r="G7" s="14"/>
      <c r="H7" s="16">
        <f ca="1">IF(LEN(INDIRECT(ADDRESS(ROW()-1, COLUMN())))=1,"",INDIRECT(ADDRESS(39,6))-INDIRECT(ADDRESS(39,7)))</f>
        <v>-8</v>
      </c>
      <c r="I7" s="16">
        <f ca="1">IF(LEN(INDIRECT(ADDRESS(ROW()-1, COLUMN())))=1,"",INDIRECT(ADDRESS(42,7))-INDIRECT(ADDRESS(42,6)))</f>
        <v>-6</v>
      </c>
      <c r="J7" s="16">
        <f ca="1">IF(LEN(INDIRECT(ADDRESS(ROW()-1, COLUMN())))=1,"",INDIRECT(ADDRESS(48,6))-INDIRECT(ADDRESS(48,7)))</f>
        <v>1</v>
      </c>
      <c r="K7" s="67">
        <f ca="1">IF(LEN(INDIRECT(ADDRESS(ROW()-1, COLUMN())))=1,"",INDIRECT(ADDRESS(53,7))-INDIRECT(ADDRESS(53,6)))</f>
        <v>-9</v>
      </c>
      <c r="L7" s="17">
        <f ca="1">IF(LEN(INDIRECT(ADDRESS(ROW()-1, COLUMN())))=1,"",INDIRECT(ADDRESS(22,6))-INDIRECT(ADDRESS(22,7)))</f>
        <v>1</v>
      </c>
      <c r="M7" s="151"/>
      <c r="N7" s="16">
        <f ca="1">IF(COUNT(F7:L7)=0,"",SUM(F7:L7))</f>
        <v>-25</v>
      </c>
      <c r="O7" s="221"/>
    </row>
    <row r="8" spans="1:16" ht="24" customHeight="1" x14ac:dyDescent="0.25">
      <c r="A8" s="5"/>
      <c r="B8" s="139">
        <v>3</v>
      </c>
      <c r="C8" s="136" t="s">
        <v>101</v>
      </c>
      <c r="D8" s="137"/>
      <c r="E8" s="138"/>
      <c r="F8" s="12" t="str">
        <f ca="1">INDIRECT(ADDRESS(32,6))&amp;":"&amp;INDIRECT(ADDRESS(32,7))</f>
        <v>13:2</v>
      </c>
      <c r="G8" s="7" t="str">
        <f ca="1">INDIRECT(ADDRESS(39,7))&amp;":"&amp;INDIRECT(ADDRESS(39,6))</f>
        <v>13:5</v>
      </c>
      <c r="H8" s="8"/>
      <c r="I8" s="7" t="str">
        <f ca="1">INDIRECT(ADDRESS(49,6))&amp;":"&amp;INDIRECT(ADDRESS(49,7))</f>
        <v>13:11</v>
      </c>
      <c r="J8" s="7" t="str">
        <f ca="1">INDIRECT(ADDRESS(52,7))&amp;":"&amp;INDIRECT(ADDRESS(52,6))</f>
        <v>13:6</v>
      </c>
      <c r="K8" s="68" t="str">
        <f ca="1">INDIRECT(ADDRESS(23,6))&amp;":"&amp;INDIRECT(ADDRESS(23,7))</f>
        <v>13:0</v>
      </c>
      <c r="L8" s="11" t="str">
        <f ca="1">INDIRECT(ADDRESS(28,7))&amp;":"&amp;INDIRECT(ADDRESS(28,6))</f>
        <v>13:8</v>
      </c>
      <c r="M8" s="151">
        <f ca="1">IF(COUNT(F9:L9)=0,"",COUNTIF(F9:L9,"&gt;0")+0.5*COUNTIF(F9:L9,0))</f>
        <v>6</v>
      </c>
      <c r="N8" s="16"/>
      <c r="O8" s="246">
        <v>1</v>
      </c>
    </row>
    <row r="9" spans="1:16" ht="24" customHeight="1" x14ac:dyDescent="0.25">
      <c r="A9" s="5"/>
      <c r="B9" s="132"/>
      <c r="C9" s="136"/>
      <c r="D9" s="137"/>
      <c r="E9" s="138"/>
      <c r="F9" s="22">
        <f ca="1">IF(LEN(INDIRECT(ADDRESS(ROW()-1, COLUMN())))=1,"",INDIRECT(ADDRESS(32,6))-INDIRECT(ADDRESS(32,7)))</f>
        <v>11</v>
      </c>
      <c r="G9" s="16">
        <f ca="1">IF(LEN(INDIRECT(ADDRESS(ROW()-1, COLUMN())))=1,"",INDIRECT(ADDRESS(39,7))-INDIRECT(ADDRESS(39,6)))</f>
        <v>8</v>
      </c>
      <c r="H9" s="14"/>
      <c r="I9" s="16">
        <f ca="1">IF(LEN(INDIRECT(ADDRESS(ROW()-1, COLUMN())))=1,"",INDIRECT(ADDRESS(49,6))-INDIRECT(ADDRESS(49,7)))</f>
        <v>2</v>
      </c>
      <c r="J9" s="16">
        <f ca="1">IF(LEN(INDIRECT(ADDRESS(ROW()-1, COLUMN())))=1,"",INDIRECT(ADDRESS(52,7))-INDIRECT(ADDRESS(52,6)))</f>
        <v>7</v>
      </c>
      <c r="K9" s="67">
        <f ca="1">IF(LEN(INDIRECT(ADDRESS(ROW()-1, COLUMN())))=1,"",INDIRECT(ADDRESS(23,6))-INDIRECT(ADDRESS(23,7)))</f>
        <v>13</v>
      </c>
      <c r="L9" s="17">
        <f ca="1">IF(LEN(INDIRECT(ADDRESS(ROW()-1, COLUMN())))=1,"",INDIRECT(ADDRESS(28,7))-INDIRECT(ADDRESS(28,6)))</f>
        <v>5</v>
      </c>
      <c r="M9" s="151"/>
      <c r="N9" s="16">
        <f ca="1">IF(COUNT(F9:L9)=0,"",SUM(F9:L9))</f>
        <v>46</v>
      </c>
      <c r="O9" s="221"/>
    </row>
    <row r="10" spans="1:16" ht="24" customHeight="1" x14ac:dyDescent="0.25">
      <c r="A10" s="5"/>
      <c r="B10" s="139">
        <v>4</v>
      </c>
      <c r="C10" s="136" t="s">
        <v>102</v>
      </c>
      <c r="D10" s="137"/>
      <c r="E10" s="138"/>
      <c r="F10" s="12" t="str">
        <f ca="1">INDIRECT(ADDRESS(38,7))&amp;":"&amp;INDIRECT(ADDRESS(38,6))</f>
        <v>13:2</v>
      </c>
      <c r="G10" s="7" t="str">
        <f ca="1">INDIRECT(ADDRESS(42,6))&amp;":"&amp;INDIRECT(ADDRESS(42,7))</f>
        <v>13:7</v>
      </c>
      <c r="H10" s="7" t="str">
        <f ca="1">INDIRECT(ADDRESS(49,7))&amp;":"&amp;INDIRECT(ADDRESS(49,6))</f>
        <v>11:13</v>
      </c>
      <c r="I10" s="8"/>
      <c r="J10" s="7" t="str">
        <f ca="1">INDIRECT(ADDRESS(24,6))&amp;":"&amp;INDIRECT(ADDRESS(24,7))</f>
        <v>13:3</v>
      </c>
      <c r="K10" s="68" t="str">
        <f ca="1">INDIRECT(ADDRESS(27,7))&amp;":"&amp;INDIRECT(ADDRESS(27,6))</f>
        <v>13:9</v>
      </c>
      <c r="L10" s="11" t="str">
        <f ca="1">INDIRECT(ADDRESS(33,6))&amp;":"&amp;INDIRECT(ADDRESS(33,7))</f>
        <v>12:13</v>
      </c>
      <c r="M10" s="151">
        <f ca="1">IF(COUNT(F11:L11)=0,"",COUNTIF(F11:L11,"&gt;0")+0.5*COUNTIF(F11:L11,0))</f>
        <v>4</v>
      </c>
      <c r="N10" s="16"/>
      <c r="O10" s="246">
        <v>2</v>
      </c>
    </row>
    <row r="11" spans="1:16" ht="24" customHeight="1" x14ac:dyDescent="0.25">
      <c r="A11" s="5"/>
      <c r="B11" s="132"/>
      <c r="C11" s="136"/>
      <c r="D11" s="137"/>
      <c r="E11" s="138"/>
      <c r="F11" s="22">
        <f ca="1">IF(LEN(INDIRECT(ADDRESS(ROW()-1, COLUMN())))=1,"",INDIRECT(ADDRESS(38,7))-INDIRECT(ADDRESS(38,6)))</f>
        <v>11</v>
      </c>
      <c r="G11" s="16">
        <f ca="1">IF(LEN(INDIRECT(ADDRESS(ROW()-1, COLUMN())))=1,"",INDIRECT(ADDRESS(42,6))-INDIRECT(ADDRESS(42,7)))</f>
        <v>6</v>
      </c>
      <c r="H11" s="16">
        <f ca="1">IF(LEN(INDIRECT(ADDRESS(ROW()-1, COLUMN())))=1,"",INDIRECT(ADDRESS(49,7))-INDIRECT(ADDRESS(49,6)))</f>
        <v>-2</v>
      </c>
      <c r="I11" s="14"/>
      <c r="J11" s="16">
        <f ca="1">IF(LEN(INDIRECT(ADDRESS(ROW()-1, COLUMN())))=1,"",INDIRECT(ADDRESS(24,6))-INDIRECT(ADDRESS(24,7)))</f>
        <v>10</v>
      </c>
      <c r="K11" s="67">
        <f ca="1">IF(LEN(INDIRECT(ADDRESS(ROW()-1, COLUMN())))=1,"",INDIRECT(ADDRESS(27,7))-INDIRECT(ADDRESS(27,6)))</f>
        <v>4</v>
      </c>
      <c r="L11" s="17">
        <f ca="1">IF(LEN(INDIRECT(ADDRESS(ROW()-1, COLUMN())))=1,"",INDIRECT(ADDRESS(33,6))-INDIRECT(ADDRESS(33,7)))</f>
        <v>-1</v>
      </c>
      <c r="M11" s="151"/>
      <c r="N11" s="16">
        <f ca="1">IF(COUNT(F11:L11)=0,"",SUM(F11:L11))</f>
        <v>28</v>
      </c>
      <c r="O11" s="221"/>
    </row>
    <row r="12" spans="1:16" ht="24" customHeight="1" x14ac:dyDescent="0.25">
      <c r="A12" s="5"/>
      <c r="B12" s="139">
        <v>5</v>
      </c>
      <c r="C12" s="140" t="s">
        <v>115</v>
      </c>
      <c r="D12" s="141"/>
      <c r="E12" s="142"/>
      <c r="F12" s="12" t="str">
        <f ca="1">INDIRECT(ADDRESS(43,6))&amp;":"&amp;INDIRECT(ADDRESS(43,7))</f>
        <v>3:13</v>
      </c>
      <c r="G12" s="7" t="str">
        <f ca="1">INDIRECT(ADDRESS(48,7))&amp;":"&amp;INDIRECT(ADDRESS(48,6))</f>
        <v>12:13</v>
      </c>
      <c r="H12" s="7" t="str">
        <f ca="1">INDIRECT(ADDRESS(52,6))&amp;":"&amp;INDIRECT(ADDRESS(52,7))</f>
        <v>6:13</v>
      </c>
      <c r="I12" s="7" t="str">
        <f ca="1">INDIRECT(ADDRESS(24,7))&amp;":"&amp;INDIRECT(ADDRESS(24,6))</f>
        <v>3:13</v>
      </c>
      <c r="J12" s="8"/>
      <c r="K12" s="68" t="str">
        <f ca="1">INDIRECT(ADDRESS(34,6))&amp;":"&amp;INDIRECT(ADDRESS(34,7))</f>
        <v>10:13</v>
      </c>
      <c r="L12" s="11" t="str">
        <f ca="1">INDIRECT(ADDRESS(37,7))&amp;":"&amp;INDIRECT(ADDRESS(37,6))</f>
        <v>7:13</v>
      </c>
      <c r="M12" s="151">
        <f ca="1">IF(COUNT(F13:L13)=0,"",COUNTIF(F13:L13,"&gt;0")+0.5*COUNTIF(F13:L13,0))</f>
        <v>0</v>
      </c>
      <c r="N12" s="16"/>
      <c r="O12" s="246">
        <v>7</v>
      </c>
    </row>
    <row r="13" spans="1:16" ht="24" customHeight="1" x14ac:dyDescent="0.25">
      <c r="A13" s="5"/>
      <c r="B13" s="132"/>
      <c r="C13" s="140"/>
      <c r="D13" s="141"/>
      <c r="E13" s="142"/>
      <c r="F13" s="22">
        <f ca="1">IF(LEN(INDIRECT(ADDRESS(ROW()-1, COLUMN())))=1,"",INDIRECT(ADDRESS(43,6))-INDIRECT(ADDRESS(43,7)))</f>
        <v>-10</v>
      </c>
      <c r="G13" s="16">
        <f ca="1">IF(LEN(INDIRECT(ADDRESS(ROW()-1, COLUMN())))=1,"",INDIRECT(ADDRESS(48,7))-INDIRECT(ADDRESS(48,6)))</f>
        <v>-1</v>
      </c>
      <c r="H13" s="16">
        <f ca="1">IF(LEN(INDIRECT(ADDRESS(ROW()-1, COLUMN())))=1,"",INDIRECT(ADDRESS(52,6))-INDIRECT(ADDRESS(52,7)))</f>
        <v>-7</v>
      </c>
      <c r="I13" s="16">
        <f ca="1">IF(LEN(INDIRECT(ADDRESS(ROW()-1, COLUMN())))=1,"",INDIRECT(ADDRESS(24,7))-INDIRECT(ADDRESS(24,6)))</f>
        <v>-10</v>
      </c>
      <c r="J13" s="14"/>
      <c r="K13" s="67">
        <f ca="1">IF(LEN(INDIRECT(ADDRESS(ROW()-1, COLUMN())))=1,"",INDIRECT(ADDRESS(34,6))-INDIRECT(ADDRESS(34,7)))</f>
        <v>-3</v>
      </c>
      <c r="L13" s="17">
        <f ca="1">IF(LEN(INDIRECT(ADDRESS(ROW()-1, COLUMN())))=1,"",INDIRECT(ADDRESS(37,7))-INDIRECT(ADDRESS(37,6)))</f>
        <v>-6</v>
      </c>
      <c r="M13" s="151"/>
      <c r="N13" s="16">
        <f ca="1">IF(COUNT(F13:L13)=0,"",SUM(F13:L13))</f>
        <v>-37</v>
      </c>
      <c r="O13" s="221"/>
    </row>
    <row r="14" spans="1:16" ht="24" customHeight="1" x14ac:dyDescent="0.25">
      <c r="A14" s="5"/>
      <c r="B14" s="139">
        <v>6</v>
      </c>
      <c r="C14" s="140" t="s">
        <v>103</v>
      </c>
      <c r="D14" s="141"/>
      <c r="E14" s="142"/>
      <c r="F14" s="12" t="str">
        <f ca="1">INDIRECT(ADDRESS(47,7))&amp;":"&amp;INDIRECT(ADDRESS(47,6))</f>
        <v>10:13</v>
      </c>
      <c r="G14" s="7" t="str">
        <f ca="1">INDIRECT(ADDRESS(53,6))&amp;":"&amp;INDIRECT(ADDRESS(53,7))</f>
        <v>13:4</v>
      </c>
      <c r="H14" s="7" t="str">
        <f ca="1">INDIRECT(ADDRESS(23,7))&amp;":"&amp;INDIRECT(ADDRESS(23,6))</f>
        <v>0:13</v>
      </c>
      <c r="I14" s="7" t="str">
        <f ca="1">INDIRECT(ADDRESS(27,6))&amp;":"&amp;INDIRECT(ADDRESS(27,7))</f>
        <v>9:13</v>
      </c>
      <c r="J14" s="7" t="str">
        <f ca="1">INDIRECT(ADDRESS(34,7))&amp;":"&amp;INDIRECT(ADDRESS(34,6))</f>
        <v>13:10</v>
      </c>
      <c r="K14" s="69"/>
      <c r="L14" s="29" t="str">
        <f ca="1">INDIRECT(ADDRESS(44,6))&amp;":"&amp;INDIRECT(ADDRESS(44,7))</f>
        <v>13:9</v>
      </c>
      <c r="M14" s="151">
        <f ca="1">IF(COUNT(F15:L15)=0,"",COUNTIF(F15:L15,"&gt;0")+0.5*COUNTIF(F15:L15,0))</f>
        <v>3</v>
      </c>
      <c r="N14" s="16">
        <v>1</v>
      </c>
      <c r="O14" s="246">
        <v>4</v>
      </c>
    </row>
    <row r="15" spans="1:16" ht="24" customHeight="1" x14ac:dyDescent="0.25">
      <c r="A15" s="5"/>
      <c r="B15" s="132"/>
      <c r="C15" s="140"/>
      <c r="D15" s="141"/>
      <c r="E15" s="142"/>
      <c r="F15" s="22">
        <f ca="1">IF(LEN(INDIRECT(ADDRESS(ROW()-1, COLUMN())))=1,"",INDIRECT(ADDRESS(47,7))-INDIRECT(ADDRESS(47,6)))</f>
        <v>-3</v>
      </c>
      <c r="G15" s="16">
        <f ca="1">IF(LEN(INDIRECT(ADDRESS(ROW()-1, COLUMN())))=1,"",INDIRECT(ADDRESS(53,6))-INDIRECT(ADDRESS(53,7)))</f>
        <v>9</v>
      </c>
      <c r="H15" s="16">
        <f ca="1">IF(LEN(INDIRECT(ADDRESS(ROW()-1, COLUMN())))=1,"",INDIRECT(ADDRESS(23,7))-INDIRECT(ADDRESS(23,6)))</f>
        <v>-13</v>
      </c>
      <c r="I15" s="16">
        <f ca="1">IF(LEN(INDIRECT(ADDRESS(ROW()-1, COLUMN())))=1,"",INDIRECT(ADDRESS(27,6))-INDIRECT(ADDRESS(27,7)))</f>
        <v>-4</v>
      </c>
      <c r="J15" s="16">
        <f ca="1">IF(LEN(INDIRECT(ADDRESS(ROW()-1, COLUMN())))=1,"",INDIRECT(ADDRESS(34,7))-INDIRECT(ADDRESS(34,6)))</f>
        <v>3</v>
      </c>
      <c r="K15" s="70"/>
      <c r="L15" s="71">
        <f ca="1">IF(LEN(INDIRECT(ADDRESS(ROW()-1, COLUMN())))=1,"",INDIRECT(ADDRESS(44,6))-INDIRECT(ADDRESS(44,7)))</f>
        <v>4</v>
      </c>
      <c r="M15" s="151"/>
      <c r="N15" s="16">
        <f ca="1">IF(COUNT(F15:L15)=0,"",SUM(F15:L15))</f>
        <v>-4</v>
      </c>
      <c r="O15" s="221"/>
    </row>
    <row r="16" spans="1:16" ht="24" customHeight="1" x14ac:dyDescent="0.25">
      <c r="A16" s="5"/>
      <c r="B16" s="240">
        <v>7</v>
      </c>
      <c r="C16" s="264" t="s">
        <v>104</v>
      </c>
      <c r="D16" s="265"/>
      <c r="E16" s="266"/>
      <c r="F16" s="72" t="str">
        <f ca="1">INDIRECT(ADDRESS(54,6))&amp;":"&amp;INDIRECT(ADDRESS(54,7))</f>
        <v>13:6</v>
      </c>
      <c r="G16" s="73" t="str">
        <f ca="1">INDIRECT(ADDRESS(22,7))&amp;":"&amp;INDIRECT(ADDRESS(22,6))</f>
        <v>12:13</v>
      </c>
      <c r="H16" s="73" t="str">
        <f ca="1">INDIRECT(ADDRESS(28,6))&amp;":"&amp;INDIRECT(ADDRESS(28,7))</f>
        <v>8:13</v>
      </c>
      <c r="I16" s="73" t="str">
        <f ca="1">INDIRECT(ADDRESS(33,7))&amp;":"&amp;INDIRECT(ADDRESS(33,6))</f>
        <v>13:12</v>
      </c>
      <c r="J16" s="73" t="str">
        <f ca="1">INDIRECT(ADDRESS(37,6))&amp;":"&amp;INDIRECT(ADDRESS(37,7))</f>
        <v>13:7</v>
      </c>
      <c r="K16" s="74" t="str">
        <f ca="1">INDIRECT(ADDRESS(44,7))&amp;":"&amp;INDIRECT(ADDRESS(44,6))</f>
        <v>9:13</v>
      </c>
      <c r="L16" s="75"/>
      <c r="M16" s="151">
        <f ca="1">IF(COUNT(F17:L17)=0,"",COUNTIF(F17:L17,"&gt;0")+0.5*COUNTIF(F17:L17,0))</f>
        <v>3</v>
      </c>
      <c r="N16" s="76">
        <v>3</v>
      </c>
      <c r="O16" s="220">
        <v>3</v>
      </c>
      <c r="P16" t="s">
        <v>135</v>
      </c>
    </row>
    <row r="17" spans="1:16" ht="24" customHeight="1" thickBot="1" x14ac:dyDescent="0.3">
      <c r="A17" s="5"/>
      <c r="B17" s="143"/>
      <c r="C17" s="250"/>
      <c r="D17" s="251"/>
      <c r="E17" s="252"/>
      <c r="F17" s="19">
        <f ca="1">IF(LEN(INDIRECT(ADDRESS(ROW()-1, COLUMN())))=1,"",INDIRECT(ADDRESS(54,6))-INDIRECT(ADDRESS(54,7)))</f>
        <v>7</v>
      </c>
      <c r="G17" s="18">
        <f ca="1">IF(LEN(INDIRECT(ADDRESS(ROW()-1, COLUMN())))=1,"",INDIRECT(ADDRESS(22,7))-INDIRECT(ADDRESS(22,6)))</f>
        <v>-1</v>
      </c>
      <c r="H17" s="18">
        <f ca="1">IF(LEN(INDIRECT(ADDRESS(ROW()-1, COLUMN())))=1,"",INDIRECT(ADDRESS(28,6))-INDIRECT(ADDRESS(28,7)))</f>
        <v>-5</v>
      </c>
      <c r="I17" s="18">
        <f ca="1">IF(LEN(INDIRECT(ADDRESS(ROW()-1, COLUMN())))=1,"",INDIRECT(ADDRESS(33,7))-INDIRECT(ADDRESS(33,6)))</f>
        <v>1</v>
      </c>
      <c r="J17" s="18">
        <f ca="1">IF(LEN(INDIRECT(ADDRESS(ROW()-1, COLUMN())))=1,"",INDIRECT(ADDRESS(37,6))-INDIRECT(ADDRESS(37,7)))</f>
        <v>6</v>
      </c>
      <c r="K17" s="77">
        <f ca="1">IF(LEN(INDIRECT(ADDRESS(ROW()-1, COLUMN())))=1,"",INDIRECT(ADDRESS(44,7))-INDIRECT(ADDRESS(44,6)))</f>
        <v>-4</v>
      </c>
      <c r="L17" s="15"/>
      <c r="M17" s="156"/>
      <c r="N17" s="18">
        <f ca="1">IF(COUNT(F17:L17)=0,"",SUM(F17:L17))</f>
        <v>4</v>
      </c>
      <c r="O17" s="247"/>
      <c r="P17" s="78">
        <v>0.54583333333333328</v>
      </c>
    </row>
    <row r="18" spans="1:16" x14ac:dyDescent="0.25">
      <c r="M18"/>
    </row>
    <row r="19" spans="1:16" x14ac:dyDescent="0.25">
      <c r="M19"/>
    </row>
    <row r="20" spans="1:16" x14ac:dyDescent="0.25">
      <c r="M20"/>
    </row>
    <row r="21" spans="1:16" ht="30" customHeight="1" thickBot="1" x14ac:dyDescent="0.3">
      <c r="B21" s="147" t="s">
        <v>4</v>
      </c>
      <c r="C21" s="147"/>
      <c r="D21" s="147"/>
      <c r="E21" s="147"/>
      <c r="F21" s="147"/>
      <c r="G21" s="147"/>
      <c r="H21" s="147"/>
      <c r="I21" s="147"/>
      <c r="J21" s="147"/>
      <c r="K21" s="147"/>
      <c r="M21"/>
    </row>
    <row r="22" spans="1:16" ht="30" customHeight="1" thickBot="1" x14ac:dyDescent="0.3">
      <c r="B22" s="5">
        <v>2</v>
      </c>
      <c r="C22" s="177" t="str">
        <f ca="1">IF(ISBLANK(INDIRECT(ADDRESS(B22*2+2,3))),"",INDIRECT(ADDRESS(B22*2+2,3)))</f>
        <v>Шундрин Дмитрий</v>
      </c>
      <c r="D22" s="177"/>
      <c r="E22" s="178"/>
      <c r="F22" s="24">
        <v>13</v>
      </c>
      <c r="G22" s="25">
        <v>12</v>
      </c>
      <c r="H22" s="181" t="str">
        <f ca="1">IF(ISBLANK(INDIRECT(ADDRESS(K22*2+2,3))),"",INDIRECT(ADDRESS(K22*2+2,3)))</f>
        <v>Царегородцев Александр</v>
      </c>
      <c r="I22" s="177"/>
      <c r="J22" s="177"/>
      <c r="K22" s="5">
        <v>7</v>
      </c>
      <c r="L22" s="27" t="s">
        <v>10</v>
      </c>
      <c r="M22" s="26"/>
    </row>
    <row r="23" spans="1:16" ht="30" customHeight="1" thickBot="1" x14ac:dyDescent="0.3">
      <c r="B23" s="5">
        <v>3</v>
      </c>
      <c r="C23" s="177" t="str">
        <f ca="1">IF(ISBLANK(INDIRECT(ADDRESS(B23*2+2,3))),"",INDIRECT(ADDRESS(B23*2+2,3)))</f>
        <v>Гоцфрид Константин</v>
      </c>
      <c r="D23" s="177"/>
      <c r="E23" s="178"/>
      <c r="F23" s="24">
        <v>13</v>
      </c>
      <c r="G23" s="25">
        <v>0</v>
      </c>
      <c r="H23" s="181" t="str">
        <f ca="1">IF(ISBLANK(INDIRECT(ADDRESS(K23*2+2,3))),"",INDIRECT(ADDRESS(K23*2+2,3)))</f>
        <v>Глеклер Андрей</v>
      </c>
      <c r="I23" s="177"/>
      <c r="J23" s="177"/>
      <c r="K23" s="5">
        <v>6</v>
      </c>
      <c r="L23" s="27" t="s">
        <v>10</v>
      </c>
      <c r="M23" s="26"/>
    </row>
    <row r="24" spans="1:16" ht="30" customHeight="1" thickBot="1" x14ac:dyDescent="0.3">
      <c r="B24" s="5">
        <v>4</v>
      </c>
      <c r="C24" s="177" t="str">
        <f ca="1">IF(ISBLANK(INDIRECT(ADDRESS(B24*2+2,3))),"",INDIRECT(ADDRESS(B24*2+2,3)))</f>
        <v>Федотовский Олег</v>
      </c>
      <c r="D24" s="177"/>
      <c r="E24" s="178"/>
      <c r="F24" s="24">
        <v>13</v>
      </c>
      <c r="G24" s="25">
        <v>3</v>
      </c>
      <c r="H24" s="181" t="str">
        <f ca="1">IF(ISBLANK(INDIRECT(ADDRESS(K24*2+2,3))),"",INDIRECT(ADDRESS(K24*2+2,3)))</f>
        <v>Томилин Андрей</v>
      </c>
      <c r="I24" s="177"/>
      <c r="J24" s="177"/>
      <c r="K24" s="5">
        <v>5</v>
      </c>
      <c r="L24" s="27" t="s">
        <v>10</v>
      </c>
      <c r="M24" s="26"/>
    </row>
    <row r="25" spans="1:16" ht="30" customHeight="1" x14ac:dyDescent="0.25"/>
    <row r="26" spans="1:16" ht="30" customHeight="1" thickBot="1" x14ac:dyDescent="0.3">
      <c r="B26" s="147" t="s">
        <v>5</v>
      </c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6" ht="30" customHeight="1" thickBot="1" x14ac:dyDescent="0.3">
      <c r="B27" s="5">
        <v>6</v>
      </c>
      <c r="C27" s="177" t="str">
        <f ca="1">IF(ISBLANK(INDIRECT(ADDRESS(B27*2+2,3))),"",INDIRECT(ADDRESS(B27*2+2,3)))</f>
        <v>Глеклер Андрей</v>
      </c>
      <c r="D27" s="177"/>
      <c r="E27" s="178"/>
      <c r="F27" s="24">
        <v>9</v>
      </c>
      <c r="G27" s="25">
        <v>13</v>
      </c>
      <c r="H27" s="181" t="str">
        <f ca="1">IF(ISBLANK(INDIRECT(ADDRESS(K27*2+2,3))),"",INDIRECT(ADDRESS(K27*2+2,3)))</f>
        <v>Федотовский Олег</v>
      </c>
      <c r="I27" s="177"/>
      <c r="J27" s="177"/>
      <c r="K27" s="5">
        <v>4</v>
      </c>
      <c r="L27" s="27" t="s">
        <v>10</v>
      </c>
      <c r="M27" s="26"/>
    </row>
    <row r="28" spans="1:16" ht="30" customHeight="1" thickBot="1" x14ac:dyDescent="0.3">
      <c r="B28" s="5">
        <v>7</v>
      </c>
      <c r="C28" s="177" t="str">
        <f ca="1">IF(ISBLANK(INDIRECT(ADDRESS(B28*2+2,3))),"",INDIRECT(ADDRESS(B28*2+2,3)))</f>
        <v>Царегородцев Александр</v>
      </c>
      <c r="D28" s="177"/>
      <c r="E28" s="178"/>
      <c r="F28" s="24">
        <v>8</v>
      </c>
      <c r="G28" s="25">
        <v>13</v>
      </c>
      <c r="H28" s="181" t="str">
        <f ca="1">IF(ISBLANK(INDIRECT(ADDRESS(K28*2+2,3))),"",INDIRECT(ADDRESS(K28*2+2,3)))</f>
        <v>Гоцфрид Константин</v>
      </c>
      <c r="I28" s="177"/>
      <c r="J28" s="177"/>
      <c r="K28" s="5">
        <v>3</v>
      </c>
      <c r="L28" s="27" t="s">
        <v>10</v>
      </c>
      <c r="M28" s="26"/>
    </row>
    <row r="29" spans="1:16" ht="30" customHeight="1" thickBot="1" x14ac:dyDescent="0.3">
      <c r="B29" s="5">
        <v>1</v>
      </c>
      <c r="C29" s="177" t="str">
        <f ca="1">IF(ISBLANK(INDIRECT(ADDRESS(B29*2+2,3))),"",INDIRECT(ADDRESS(B29*2+2,3)))</f>
        <v>Свиридов Алексей</v>
      </c>
      <c r="D29" s="177"/>
      <c r="E29" s="178"/>
      <c r="F29" s="24">
        <v>13</v>
      </c>
      <c r="G29" s="25">
        <v>9</v>
      </c>
      <c r="H29" s="181" t="str">
        <f ca="1">IF(ISBLANK(INDIRECT(ADDRESS(K29*2+2,3))),"",INDIRECT(ADDRESS(K29*2+2,3)))</f>
        <v>Шундрин Дмитрий</v>
      </c>
      <c r="I29" s="177"/>
      <c r="J29" s="177"/>
      <c r="K29" s="5">
        <v>2</v>
      </c>
      <c r="L29" s="27" t="s">
        <v>10</v>
      </c>
      <c r="M29" s="26"/>
    </row>
    <row r="30" spans="1:16" ht="30" customHeight="1" x14ac:dyDescent="0.25"/>
    <row r="31" spans="1:16" ht="30" customHeight="1" thickBot="1" x14ac:dyDescent="0.3">
      <c r="B31" s="147" t="s">
        <v>6</v>
      </c>
      <c r="C31" s="147"/>
      <c r="D31" s="147"/>
      <c r="E31" s="147"/>
      <c r="F31" s="147"/>
      <c r="G31" s="147"/>
      <c r="H31" s="147"/>
      <c r="I31" s="147"/>
      <c r="J31" s="147"/>
      <c r="K31" s="147"/>
    </row>
    <row r="32" spans="1:16" ht="30" customHeight="1" thickBot="1" x14ac:dyDescent="0.3">
      <c r="B32" s="5">
        <v>3</v>
      </c>
      <c r="C32" s="177" t="str">
        <f ca="1">IF(ISBLANK(INDIRECT(ADDRESS(B32*2+2,3))),"",INDIRECT(ADDRESS(B32*2+2,3)))</f>
        <v>Гоцфрид Константин</v>
      </c>
      <c r="D32" s="177"/>
      <c r="E32" s="178"/>
      <c r="F32" s="24">
        <v>13</v>
      </c>
      <c r="G32" s="25">
        <v>2</v>
      </c>
      <c r="H32" s="181" t="str">
        <f ca="1">IF(ISBLANK(INDIRECT(ADDRESS(K32*2+2,3))),"",INDIRECT(ADDRESS(K32*2+2,3)))</f>
        <v>Свиридов Алексей</v>
      </c>
      <c r="I32" s="177"/>
      <c r="J32" s="177"/>
      <c r="K32" s="5">
        <v>1</v>
      </c>
      <c r="L32" s="27" t="s">
        <v>10</v>
      </c>
      <c r="M32" s="26"/>
    </row>
    <row r="33" spans="2:13" ht="30" customHeight="1" thickBot="1" x14ac:dyDescent="0.3">
      <c r="B33" s="5">
        <v>4</v>
      </c>
      <c r="C33" s="177" t="str">
        <f ca="1">IF(ISBLANK(INDIRECT(ADDRESS(B33*2+2,3))),"",INDIRECT(ADDRESS(B33*2+2,3)))</f>
        <v>Федотовский Олег</v>
      </c>
      <c r="D33" s="177"/>
      <c r="E33" s="178"/>
      <c r="F33" s="24">
        <v>12</v>
      </c>
      <c r="G33" s="25">
        <v>13</v>
      </c>
      <c r="H33" s="181" t="str">
        <f ca="1">IF(ISBLANK(INDIRECT(ADDRESS(K33*2+2,3))),"",INDIRECT(ADDRESS(K33*2+2,3)))</f>
        <v>Царегородцев Александр</v>
      </c>
      <c r="I33" s="177"/>
      <c r="J33" s="177"/>
      <c r="K33" s="5">
        <v>7</v>
      </c>
      <c r="L33" s="27" t="s">
        <v>10</v>
      </c>
      <c r="M33" s="26"/>
    </row>
    <row r="34" spans="2:13" ht="30" customHeight="1" thickBot="1" x14ac:dyDescent="0.3">
      <c r="B34" s="5">
        <v>5</v>
      </c>
      <c r="C34" s="177" t="str">
        <f ca="1">IF(ISBLANK(INDIRECT(ADDRESS(B34*2+2,3))),"",INDIRECT(ADDRESS(B34*2+2,3)))</f>
        <v>Томилин Андрей</v>
      </c>
      <c r="D34" s="177"/>
      <c r="E34" s="178"/>
      <c r="F34" s="24">
        <v>10</v>
      </c>
      <c r="G34" s="25">
        <v>13</v>
      </c>
      <c r="H34" s="181" t="str">
        <f ca="1">IF(ISBLANK(INDIRECT(ADDRESS(K34*2+2,3))),"",INDIRECT(ADDRESS(K34*2+2,3)))</f>
        <v>Глеклер Андрей</v>
      </c>
      <c r="I34" s="177"/>
      <c r="J34" s="177"/>
      <c r="K34" s="5">
        <v>6</v>
      </c>
      <c r="L34" s="27" t="s">
        <v>10</v>
      </c>
      <c r="M34" s="26"/>
    </row>
    <row r="35" spans="2:13" ht="30" customHeight="1" x14ac:dyDescent="0.25"/>
    <row r="36" spans="2:13" ht="30" customHeight="1" thickBot="1" x14ac:dyDescent="0.3">
      <c r="B36" s="147" t="s">
        <v>7</v>
      </c>
      <c r="C36" s="147"/>
      <c r="D36" s="147"/>
      <c r="E36" s="147"/>
      <c r="F36" s="147"/>
      <c r="G36" s="147"/>
      <c r="H36" s="147"/>
      <c r="I36" s="147"/>
      <c r="J36" s="147"/>
      <c r="K36" s="147"/>
    </row>
    <row r="37" spans="2:13" ht="30" customHeight="1" thickBot="1" x14ac:dyDescent="0.3">
      <c r="B37" s="5">
        <v>7</v>
      </c>
      <c r="C37" s="177" t="str">
        <f ca="1">IF(ISBLANK(INDIRECT(ADDRESS(B37*2+2,3))),"",INDIRECT(ADDRESS(B37*2+2,3)))</f>
        <v>Царегородцев Александр</v>
      </c>
      <c r="D37" s="177"/>
      <c r="E37" s="178"/>
      <c r="F37" s="24">
        <v>13</v>
      </c>
      <c r="G37" s="25">
        <v>7</v>
      </c>
      <c r="H37" s="181" t="str">
        <f ca="1">IF(ISBLANK(INDIRECT(ADDRESS(K37*2+2,3))),"",INDIRECT(ADDRESS(K37*2+2,3)))</f>
        <v>Томилин Андрей</v>
      </c>
      <c r="I37" s="177"/>
      <c r="J37" s="177"/>
      <c r="K37" s="5">
        <v>5</v>
      </c>
      <c r="L37" s="27" t="s">
        <v>10</v>
      </c>
      <c r="M37" s="26"/>
    </row>
    <row r="38" spans="2:13" ht="30" customHeight="1" thickBot="1" x14ac:dyDescent="0.3">
      <c r="B38" s="5">
        <v>1</v>
      </c>
      <c r="C38" s="177" t="str">
        <f ca="1">IF(ISBLANK(INDIRECT(ADDRESS(B38*2+2,3))),"",INDIRECT(ADDRESS(B38*2+2,3)))</f>
        <v>Свиридов Алексей</v>
      </c>
      <c r="D38" s="177"/>
      <c r="E38" s="178"/>
      <c r="F38" s="24">
        <v>2</v>
      </c>
      <c r="G38" s="25">
        <v>13</v>
      </c>
      <c r="H38" s="181" t="str">
        <f ca="1">IF(ISBLANK(INDIRECT(ADDRESS(K38*2+2,3))),"",INDIRECT(ADDRESS(K38*2+2,3)))</f>
        <v>Федотовский Олег</v>
      </c>
      <c r="I38" s="177"/>
      <c r="J38" s="177"/>
      <c r="K38" s="5">
        <v>4</v>
      </c>
      <c r="L38" s="27" t="s">
        <v>10</v>
      </c>
      <c r="M38" s="26"/>
    </row>
    <row r="39" spans="2:13" ht="30" customHeight="1" thickBot="1" x14ac:dyDescent="0.3">
      <c r="B39" s="5">
        <v>2</v>
      </c>
      <c r="C39" s="177" t="str">
        <f ca="1">IF(ISBLANK(INDIRECT(ADDRESS(B39*2+2,3))),"",INDIRECT(ADDRESS(B39*2+2,3)))</f>
        <v>Шундрин Дмитрий</v>
      </c>
      <c r="D39" s="177"/>
      <c r="E39" s="178"/>
      <c r="F39" s="24">
        <v>5</v>
      </c>
      <c r="G39" s="25">
        <v>13</v>
      </c>
      <c r="H39" s="181" t="str">
        <f ca="1">IF(ISBLANK(INDIRECT(ADDRESS(K39*2+2,3))),"",INDIRECT(ADDRESS(K39*2+2,3)))</f>
        <v>Гоцфрид Константин</v>
      </c>
      <c r="I39" s="177"/>
      <c r="J39" s="177"/>
      <c r="K39" s="5">
        <v>3</v>
      </c>
      <c r="L39" s="27" t="s">
        <v>10</v>
      </c>
      <c r="M39" s="26"/>
    </row>
    <row r="40" spans="2:13" ht="30" customHeight="1" x14ac:dyDescent="0.25"/>
    <row r="41" spans="2:13" ht="30" customHeight="1" thickBot="1" x14ac:dyDescent="0.3">
      <c r="B41" s="147" t="s">
        <v>8</v>
      </c>
      <c r="C41" s="147"/>
      <c r="D41" s="147"/>
      <c r="E41" s="147"/>
      <c r="F41" s="147"/>
      <c r="G41" s="147"/>
      <c r="H41" s="147"/>
      <c r="I41" s="147"/>
      <c r="J41" s="147"/>
      <c r="K41" s="147"/>
    </row>
    <row r="42" spans="2:13" ht="30" customHeight="1" thickBot="1" x14ac:dyDescent="0.3">
      <c r="B42" s="5">
        <v>4</v>
      </c>
      <c r="C42" s="177" t="str">
        <f ca="1">IF(ISBLANK(INDIRECT(ADDRESS(B42*2+2,3))),"",INDIRECT(ADDRESS(B42*2+2,3)))</f>
        <v>Федотовский Олег</v>
      </c>
      <c r="D42" s="177"/>
      <c r="E42" s="178"/>
      <c r="F42" s="24">
        <v>13</v>
      </c>
      <c r="G42" s="25">
        <v>7</v>
      </c>
      <c r="H42" s="181" t="str">
        <f ca="1">IF(ISBLANK(INDIRECT(ADDRESS(K42*2+2,3))),"",INDIRECT(ADDRESS(K42*2+2,3)))</f>
        <v>Шундрин Дмитрий</v>
      </c>
      <c r="I42" s="177"/>
      <c r="J42" s="177"/>
      <c r="K42" s="5">
        <v>2</v>
      </c>
      <c r="L42" s="27" t="s">
        <v>10</v>
      </c>
      <c r="M42" s="26"/>
    </row>
    <row r="43" spans="2:13" ht="30" customHeight="1" thickBot="1" x14ac:dyDescent="0.3">
      <c r="B43" s="5">
        <v>5</v>
      </c>
      <c r="C43" s="177" t="str">
        <f ca="1">IF(ISBLANK(INDIRECT(ADDRESS(B43*2+2,3))),"",INDIRECT(ADDRESS(B43*2+2,3)))</f>
        <v>Томилин Андрей</v>
      </c>
      <c r="D43" s="177"/>
      <c r="E43" s="178"/>
      <c r="F43" s="24">
        <v>3</v>
      </c>
      <c r="G43" s="25">
        <v>13</v>
      </c>
      <c r="H43" s="181" t="str">
        <f ca="1">IF(ISBLANK(INDIRECT(ADDRESS(K43*2+2,3))),"",INDIRECT(ADDRESS(K43*2+2,3)))</f>
        <v>Свиридов Алексей</v>
      </c>
      <c r="I43" s="177"/>
      <c r="J43" s="177"/>
      <c r="K43" s="5">
        <v>1</v>
      </c>
      <c r="L43" s="27" t="s">
        <v>10</v>
      </c>
      <c r="M43" s="26"/>
    </row>
    <row r="44" spans="2:13" ht="30" customHeight="1" thickBot="1" x14ac:dyDescent="0.3">
      <c r="B44" s="5">
        <v>6</v>
      </c>
      <c r="C44" s="177" t="str">
        <f ca="1">IF(ISBLANK(INDIRECT(ADDRESS(B44*2+2,3))),"",INDIRECT(ADDRESS(B44*2+2,3)))</f>
        <v>Глеклер Андрей</v>
      </c>
      <c r="D44" s="177"/>
      <c r="E44" s="178"/>
      <c r="F44" s="24">
        <v>13</v>
      </c>
      <c r="G44" s="25">
        <v>9</v>
      </c>
      <c r="H44" s="181" t="str">
        <f ca="1">IF(ISBLANK(INDIRECT(ADDRESS(K44*2+2,3))),"",INDIRECT(ADDRESS(K44*2+2,3)))</f>
        <v>Царегородцев Александр</v>
      </c>
      <c r="I44" s="177"/>
      <c r="J44" s="177"/>
      <c r="K44" s="5">
        <v>7</v>
      </c>
      <c r="L44" s="27" t="s">
        <v>10</v>
      </c>
      <c r="M44" s="26"/>
    </row>
    <row r="45" spans="2:13" ht="30" customHeight="1" x14ac:dyDescent="0.25"/>
    <row r="46" spans="2:13" ht="30" customHeight="1" thickBot="1" x14ac:dyDescent="0.3">
      <c r="B46" s="147" t="s">
        <v>94</v>
      </c>
      <c r="C46" s="147"/>
      <c r="D46" s="147"/>
      <c r="E46" s="147"/>
      <c r="F46" s="147"/>
      <c r="G46" s="147"/>
      <c r="H46" s="147"/>
      <c r="I46" s="147"/>
      <c r="J46" s="147"/>
      <c r="K46" s="147"/>
    </row>
    <row r="47" spans="2:13" ht="30" customHeight="1" thickBot="1" x14ac:dyDescent="0.3">
      <c r="B47" s="5">
        <v>1</v>
      </c>
      <c r="C47" s="177" t="str">
        <f ca="1">IF(ISBLANK(INDIRECT(ADDRESS(B47*2+2,3))),"",INDIRECT(ADDRESS(B47*2+2,3)))</f>
        <v>Свиридов Алексей</v>
      </c>
      <c r="D47" s="177"/>
      <c r="E47" s="178"/>
      <c r="F47" s="24">
        <v>13</v>
      </c>
      <c r="G47" s="25">
        <v>10</v>
      </c>
      <c r="H47" s="181" t="str">
        <f ca="1">IF(ISBLANK(INDIRECT(ADDRESS(K47*2+2,3))),"",INDIRECT(ADDRESS(K47*2+2,3)))</f>
        <v>Глеклер Андрей</v>
      </c>
      <c r="I47" s="177"/>
      <c r="J47" s="177"/>
      <c r="K47" s="5">
        <v>6</v>
      </c>
      <c r="L47" s="27" t="s">
        <v>10</v>
      </c>
      <c r="M47" s="26"/>
    </row>
    <row r="48" spans="2:13" ht="30" customHeight="1" thickBot="1" x14ac:dyDescent="0.3">
      <c r="B48" s="5">
        <v>2</v>
      </c>
      <c r="C48" s="177" t="str">
        <f ca="1">IF(ISBLANK(INDIRECT(ADDRESS(B48*2+2,3))),"",INDIRECT(ADDRESS(B48*2+2,3)))</f>
        <v>Шундрин Дмитрий</v>
      </c>
      <c r="D48" s="177"/>
      <c r="E48" s="178"/>
      <c r="F48" s="24">
        <v>13</v>
      </c>
      <c r="G48" s="25">
        <v>12</v>
      </c>
      <c r="H48" s="181" t="str">
        <f ca="1">IF(ISBLANK(INDIRECT(ADDRESS(K48*2+2,3))),"",INDIRECT(ADDRESS(K48*2+2,3)))</f>
        <v>Томилин Андрей</v>
      </c>
      <c r="I48" s="177"/>
      <c r="J48" s="177"/>
      <c r="K48" s="5">
        <v>5</v>
      </c>
      <c r="L48" s="27" t="s">
        <v>10</v>
      </c>
      <c r="M48" s="26"/>
    </row>
    <row r="49" spans="2:13" ht="30" customHeight="1" thickBot="1" x14ac:dyDescent="0.3">
      <c r="B49" s="5">
        <v>3</v>
      </c>
      <c r="C49" s="177" t="str">
        <f ca="1">IF(ISBLANK(INDIRECT(ADDRESS(B49*2+2,3))),"",INDIRECT(ADDRESS(B49*2+2,3)))</f>
        <v>Гоцфрид Константин</v>
      </c>
      <c r="D49" s="177"/>
      <c r="E49" s="178"/>
      <c r="F49" s="24">
        <v>13</v>
      </c>
      <c r="G49" s="25">
        <v>11</v>
      </c>
      <c r="H49" s="181" t="str">
        <f ca="1">IF(ISBLANK(INDIRECT(ADDRESS(K49*2+2,3))),"",INDIRECT(ADDRESS(K49*2+2,3)))</f>
        <v>Федотовский Олег</v>
      </c>
      <c r="I49" s="177"/>
      <c r="J49" s="177"/>
      <c r="K49" s="5">
        <v>4</v>
      </c>
      <c r="L49" s="27" t="s">
        <v>10</v>
      </c>
      <c r="M49" s="26"/>
    </row>
    <row r="50" spans="2:13" ht="30" customHeight="1" x14ac:dyDescent="0.25"/>
    <row r="51" spans="2:13" ht="30" customHeight="1" thickBot="1" x14ac:dyDescent="0.3">
      <c r="B51" s="147" t="s">
        <v>95</v>
      </c>
      <c r="C51" s="147"/>
      <c r="D51" s="147"/>
      <c r="E51" s="147"/>
      <c r="F51" s="147"/>
      <c r="G51" s="147"/>
      <c r="H51" s="147"/>
      <c r="I51" s="147"/>
      <c r="J51" s="147"/>
      <c r="K51" s="147"/>
    </row>
    <row r="52" spans="2:13" ht="30" customHeight="1" thickBot="1" x14ac:dyDescent="0.3">
      <c r="B52" s="5">
        <v>5</v>
      </c>
      <c r="C52" s="177" t="str">
        <f ca="1">IF(ISBLANK(INDIRECT(ADDRESS(B52*2+2,3))),"",INDIRECT(ADDRESS(B52*2+2,3)))</f>
        <v>Томилин Андрей</v>
      </c>
      <c r="D52" s="177"/>
      <c r="E52" s="178"/>
      <c r="F52" s="24">
        <v>6</v>
      </c>
      <c r="G52" s="25">
        <v>13</v>
      </c>
      <c r="H52" s="181" t="str">
        <f ca="1">IF(ISBLANK(INDIRECT(ADDRESS(K52*2+2,3))),"",INDIRECT(ADDRESS(K52*2+2,3)))</f>
        <v>Гоцфрид Константин</v>
      </c>
      <c r="I52" s="177"/>
      <c r="J52" s="177"/>
      <c r="K52" s="5">
        <v>3</v>
      </c>
      <c r="L52" s="27" t="s">
        <v>10</v>
      </c>
      <c r="M52" s="26"/>
    </row>
    <row r="53" spans="2:13" ht="30" customHeight="1" thickBot="1" x14ac:dyDescent="0.3">
      <c r="B53" s="5">
        <v>6</v>
      </c>
      <c r="C53" s="177" t="str">
        <f ca="1">IF(ISBLANK(INDIRECT(ADDRESS(B53*2+2,3))),"",INDIRECT(ADDRESS(B53*2+2,3)))</f>
        <v>Глеклер Андрей</v>
      </c>
      <c r="D53" s="177"/>
      <c r="E53" s="178"/>
      <c r="F53" s="24">
        <v>13</v>
      </c>
      <c r="G53" s="25">
        <v>4</v>
      </c>
      <c r="H53" s="181" t="str">
        <f ca="1">IF(ISBLANK(INDIRECT(ADDRESS(K53*2+2,3))),"",INDIRECT(ADDRESS(K53*2+2,3)))</f>
        <v>Шундрин Дмитрий</v>
      </c>
      <c r="I53" s="177"/>
      <c r="J53" s="177"/>
      <c r="K53" s="5">
        <v>2</v>
      </c>
      <c r="L53" s="27" t="s">
        <v>10</v>
      </c>
      <c r="M53" s="26"/>
    </row>
    <row r="54" spans="2:13" ht="30" customHeight="1" thickBot="1" x14ac:dyDescent="0.3">
      <c r="B54" s="5">
        <v>7</v>
      </c>
      <c r="C54" s="177" t="str">
        <f ca="1">IF(ISBLANK(INDIRECT(ADDRESS(B54*2+2,3))),"",INDIRECT(ADDRESS(B54*2+2,3)))</f>
        <v>Царегородцев Александр</v>
      </c>
      <c r="D54" s="177"/>
      <c r="E54" s="178"/>
      <c r="F54" s="24">
        <v>13</v>
      </c>
      <c r="G54" s="25">
        <v>6</v>
      </c>
      <c r="H54" s="181" t="str">
        <f ca="1">IF(ISBLANK(INDIRECT(ADDRESS(K54*2+2,3))),"",INDIRECT(ADDRESS(K54*2+2,3)))</f>
        <v>Свиридов Алексей</v>
      </c>
      <c r="I54" s="177"/>
      <c r="J54" s="177"/>
      <c r="K54" s="5">
        <v>1</v>
      </c>
      <c r="L54" s="27" t="s">
        <v>10</v>
      </c>
      <c r="M54" s="26"/>
    </row>
  </sheetData>
  <mergeCells count="79">
    <mergeCell ref="C54:E54"/>
    <mergeCell ref="H54:J54"/>
    <mergeCell ref="B51:K51"/>
    <mergeCell ref="C52:E52"/>
    <mergeCell ref="H52:J52"/>
    <mergeCell ref="C53:E53"/>
    <mergeCell ref="H53:J53"/>
    <mergeCell ref="C47:E47"/>
    <mergeCell ref="H47:J47"/>
    <mergeCell ref="C48:E48"/>
    <mergeCell ref="H48:J48"/>
    <mergeCell ref="C49:E49"/>
    <mergeCell ref="H49:J49"/>
    <mergeCell ref="C43:E43"/>
    <mergeCell ref="H43:J43"/>
    <mergeCell ref="C44:E44"/>
    <mergeCell ref="H44:J44"/>
    <mergeCell ref="B46:K46"/>
    <mergeCell ref="C33:E33"/>
    <mergeCell ref="H33:J33"/>
    <mergeCell ref="C34:E34"/>
    <mergeCell ref="H34:J34"/>
    <mergeCell ref="B36:K36"/>
    <mergeCell ref="O16:O17"/>
    <mergeCell ref="B21:K21"/>
    <mergeCell ref="C23:E23"/>
    <mergeCell ref="H23:J23"/>
    <mergeCell ref="C24:E24"/>
    <mergeCell ref="H24:J24"/>
    <mergeCell ref="C22:E22"/>
    <mergeCell ref="H22:J22"/>
    <mergeCell ref="O10:O11"/>
    <mergeCell ref="M12:M13"/>
    <mergeCell ref="O12:O13"/>
    <mergeCell ref="M14:M15"/>
    <mergeCell ref="O14:O15"/>
    <mergeCell ref="O4:O5"/>
    <mergeCell ref="M6:M7"/>
    <mergeCell ref="O6:O7"/>
    <mergeCell ref="M8:M9"/>
    <mergeCell ref="O8:O9"/>
    <mergeCell ref="B1:K1"/>
    <mergeCell ref="C3:E3"/>
    <mergeCell ref="B4:B5"/>
    <mergeCell ref="C4:E5"/>
    <mergeCell ref="M4:M5"/>
    <mergeCell ref="B6:B7"/>
    <mergeCell ref="C6:E7"/>
    <mergeCell ref="B8:B9"/>
    <mergeCell ref="C8:E9"/>
    <mergeCell ref="B10:B11"/>
    <mergeCell ref="C10:E11"/>
    <mergeCell ref="B12:B13"/>
    <mergeCell ref="C12:E13"/>
    <mergeCell ref="M10:M11"/>
    <mergeCell ref="B16:B17"/>
    <mergeCell ref="C16:E17"/>
    <mergeCell ref="M16:M17"/>
    <mergeCell ref="B14:B15"/>
    <mergeCell ref="C14:E15"/>
    <mergeCell ref="C27:E27"/>
    <mergeCell ref="H27:J27"/>
    <mergeCell ref="C32:E32"/>
    <mergeCell ref="H32:J32"/>
    <mergeCell ref="B26:K26"/>
    <mergeCell ref="C28:E28"/>
    <mergeCell ref="H28:J28"/>
    <mergeCell ref="C29:E29"/>
    <mergeCell ref="H29:J29"/>
    <mergeCell ref="B31:K31"/>
    <mergeCell ref="C42:E42"/>
    <mergeCell ref="H42:J42"/>
    <mergeCell ref="C37:E37"/>
    <mergeCell ref="H37:J37"/>
    <mergeCell ref="C39:E39"/>
    <mergeCell ref="H39:J39"/>
    <mergeCell ref="B41:K41"/>
    <mergeCell ref="C38:E38"/>
    <mergeCell ref="H38:J3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21" sqref="G21"/>
    </sheetView>
  </sheetViews>
  <sheetFormatPr defaultRowHeight="15" x14ac:dyDescent="0.25"/>
  <cols>
    <col min="1" max="1" width="9.140625" style="5"/>
    <col min="2" max="2" width="18.85546875" customWidth="1"/>
    <col min="3" max="3" width="15.28515625" customWidth="1"/>
    <col min="4" max="4" width="14.28515625" customWidth="1"/>
    <col min="5" max="6" width="9.140625" style="47"/>
  </cols>
  <sheetData>
    <row r="1" spans="1:7" x14ac:dyDescent="0.25">
      <c r="B1" s="50" t="s">
        <v>31</v>
      </c>
    </row>
    <row r="2" spans="1:7" s="50" customFormat="1" x14ac:dyDescent="0.25">
      <c r="A2" s="48" t="s">
        <v>32</v>
      </c>
      <c r="B2" s="50" t="s">
        <v>33</v>
      </c>
      <c r="C2" s="50" t="s">
        <v>34</v>
      </c>
      <c r="D2" s="50" t="s">
        <v>35</v>
      </c>
      <c r="E2" s="51" t="s">
        <v>36</v>
      </c>
      <c r="F2" s="51" t="s">
        <v>37</v>
      </c>
      <c r="G2" s="50" t="s">
        <v>38</v>
      </c>
    </row>
    <row r="3" spans="1:7" x14ac:dyDescent="0.25">
      <c r="A3" s="5">
        <v>1</v>
      </c>
      <c r="B3" t="s">
        <v>153</v>
      </c>
      <c r="C3">
        <f>4/5*100</f>
        <v>80</v>
      </c>
      <c r="D3">
        <v>1</v>
      </c>
      <c r="E3" s="47">
        <f>9/5</f>
        <v>1.8</v>
      </c>
      <c r="G3" t="s">
        <v>156</v>
      </c>
    </row>
    <row r="4" spans="1:7" x14ac:dyDescent="0.25">
      <c r="A4" s="5">
        <v>2</v>
      </c>
      <c r="B4" t="s">
        <v>170</v>
      </c>
      <c r="C4">
        <f>3/4*100</f>
        <v>75</v>
      </c>
      <c r="D4">
        <v>1</v>
      </c>
      <c r="E4" s="47">
        <f>3/4</f>
        <v>0.75</v>
      </c>
      <c r="G4" t="s">
        <v>213</v>
      </c>
    </row>
    <row r="5" spans="1:7" x14ac:dyDescent="0.25">
      <c r="A5" s="5">
        <v>3</v>
      </c>
      <c r="B5" t="s">
        <v>110</v>
      </c>
      <c r="C5">
        <f>3/5*100</f>
        <v>60</v>
      </c>
      <c r="D5">
        <v>0</v>
      </c>
      <c r="E5" s="47">
        <f>13/5</f>
        <v>2.6</v>
      </c>
      <c r="G5" t="s">
        <v>133</v>
      </c>
    </row>
    <row r="6" spans="1:7" x14ac:dyDescent="0.25">
      <c r="A6" s="5">
        <v>4</v>
      </c>
      <c r="B6" t="s">
        <v>91</v>
      </c>
      <c r="C6">
        <f>3/5*100</f>
        <v>60</v>
      </c>
      <c r="D6">
        <v>0</v>
      </c>
      <c r="E6" s="47">
        <f>10/5</f>
        <v>2</v>
      </c>
      <c r="G6" t="s">
        <v>132</v>
      </c>
    </row>
    <row r="7" spans="1:7" x14ac:dyDescent="0.25">
      <c r="A7" s="5">
        <v>5</v>
      </c>
      <c r="B7" t="s">
        <v>85</v>
      </c>
      <c r="C7">
        <f>2/4*100</f>
        <v>50</v>
      </c>
      <c r="D7">
        <v>1</v>
      </c>
      <c r="E7" s="47">
        <f>4/4</f>
        <v>1</v>
      </c>
      <c r="G7" t="s">
        <v>131</v>
      </c>
    </row>
    <row r="8" spans="1:7" x14ac:dyDescent="0.25">
      <c r="A8" s="5">
        <v>6</v>
      </c>
      <c r="B8" t="s">
        <v>147</v>
      </c>
      <c r="C8">
        <f>2/4*100</f>
        <v>50</v>
      </c>
      <c r="D8">
        <v>0</v>
      </c>
      <c r="E8" s="47">
        <v>0</v>
      </c>
      <c r="G8" t="s">
        <v>149</v>
      </c>
    </row>
    <row r="9" spans="1:7" x14ac:dyDescent="0.25">
      <c r="A9" s="5">
        <v>7</v>
      </c>
      <c r="B9" t="s">
        <v>160</v>
      </c>
      <c r="C9">
        <f>2/4*100</f>
        <v>50</v>
      </c>
      <c r="D9">
        <v>0</v>
      </c>
      <c r="E9" s="47">
        <f>-1/4</f>
        <v>-0.25</v>
      </c>
      <c r="G9" t="s">
        <v>167</v>
      </c>
    </row>
  </sheetData>
  <sortState ref="A3:G9">
    <sortCondition descending="1" ref="C3:C9"/>
    <sortCondition descending="1" ref="D3:D9"/>
    <sortCondition descending="1" ref="E3:E9"/>
    <sortCondition descending="1" ref="F3:F9"/>
  </sortState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sqref="A1:XFD1048576"/>
    </sheetView>
  </sheetViews>
  <sheetFormatPr defaultRowHeight="15" x14ac:dyDescent="0.25"/>
  <cols>
    <col min="1" max="1" width="5.140625" style="5" customWidth="1"/>
    <col min="2" max="2" width="30.28515625" customWidth="1"/>
    <col min="3" max="3" width="9.5703125" style="5" customWidth="1"/>
    <col min="4" max="4" width="15.7109375" customWidth="1"/>
    <col min="6" max="6" width="16.140625" style="5" customWidth="1"/>
    <col min="7" max="7" width="16.5703125" customWidth="1"/>
  </cols>
  <sheetData>
    <row r="1" spans="1:8" s="48" customFormat="1" x14ac:dyDescent="0.25">
      <c r="A1" s="48" t="s">
        <v>48</v>
      </c>
      <c r="B1" s="48" t="s">
        <v>33</v>
      </c>
      <c r="C1" s="48" t="s">
        <v>39</v>
      </c>
      <c r="D1" s="48" t="s">
        <v>49</v>
      </c>
      <c r="E1" s="48" t="s">
        <v>50</v>
      </c>
      <c r="F1" s="48" t="s">
        <v>78</v>
      </c>
      <c r="G1" s="48" t="s">
        <v>58</v>
      </c>
      <c r="H1" s="62"/>
    </row>
    <row r="2" spans="1:8" x14ac:dyDescent="0.25">
      <c r="A2" s="5">
        <v>1</v>
      </c>
      <c r="B2" s="49" t="s">
        <v>122</v>
      </c>
      <c r="C2" s="61">
        <v>101</v>
      </c>
      <c r="D2" s="49" t="s">
        <v>52</v>
      </c>
      <c r="E2" s="49" t="s">
        <v>129</v>
      </c>
      <c r="F2" s="115">
        <v>1</v>
      </c>
      <c r="G2" s="49"/>
    </row>
    <row r="3" spans="1:8" x14ac:dyDescent="0.25">
      <c r="A3" s="5">
        <v>2</v>
      </c>
      <c r="B3" s="58" t="s">
        <v>116</v>
      </c>
      <c r="C3" s="59">
        <v>97</v>
      </c>
      <c r="D3" s="58" t="s">
        <v>52</v>
      </c>
      <c r="E3" s="58" t="s">
        <v>128</v>
      </c>
      <c r="F3" s="79">
        <v>1</v>
      </c>
      <c r="G3" s="58"/>
    </row>
    <row r="4" spans="1:8" x14ac:dyDescent="0.25">
      <c r="A4" s="5">
        <v>3</v>
      </c>
      <c r="B4" s="49" t="s">
        <v>152</v>
      </c>
      <c r="C4" s="59">
        <v>94</v>
      </c>
      <c r="D4" s="49" t="s">
        <v>130</v>
      </c>
      <c r="E4" s="49" t="s">
        <v>156</v>
      </c>
      <c r="F4" s="59"/>
      <c r="G4" s="58"/>
    </row>
    <row r="5" spans="1:8" x14ac:dyDescent="0.25">
      <c r="A5" s="5">
        <v>4</v>
      </c>
      <c r="B5" s="49" t="s">
        <v>90</v>
      </c>
      <c r="C5" s="61">
        <v>88</v>
      </c>
      <c r="D5" s="49" t="s">
        <v>130</v>
      </c>
      <c r="E5" s="49" t="s">
        <v>132</v>
      </c>
      <c r="F5" s="79" t="s">
        <v>216</v>
      </c>
      <c r="G5" s="49"/>
    </row>
    <row r="6" spans="1:8" x14ac:dyDescent="0.25">
      <c r="A6" s="5">
        <v>5</v>
      </c>
      <c r="B6" s="58" t="s">
        <v>97</v>
      </c>
      <c r="C6" s="59">
        <v>88</v>
      </c>
      <c r="D6" s="58" t="s">
        <v>137</v>
      </c>
      <c r="E6" s="58" t="s">
        <v>138</v>
      </c>
      <c r="F6" s="79">
        <v>3</v>
      </c>
      <c r="G6" s="58"/>
    </row>
    <row r="7" spans="1:8" x14ac:dyDescent="0.25">
      <c r="A7" s="5">
        <v>6</v>
      </c>
      <c r="B7" s="49" t="s">
        <v>150</v>
      </c>
      <c r="C7" s="61">
        <v>88</v>
      </c>
      <c r="D7" s="49" t="s">
        <v>130</v>
      </c>
      <c r="E7" s="49" t="s">
        <v>156</v>
      </c>
      <c r="F7" s="61"/>
      <c r="G7" s="49"/>
    </row>
    <row r="8" spans="1:8" x14ac:dyDescent="0.25">
      <c r="A8" s="5">
        <v>7</v>
      </c>
      <c r="B8" s="58" t="s">
        <v>124</v>
      </c>
      <c r="C8" s="59">
        <v>82</v>
      </c>
      <c r="D8" s="58" t="s">
        <v>52</v>
      </c>
      <c r="E8" s="58" t="s">
        <v>129</v>
      </c>
      <c r="F8" s="79">
        <v>2</v>
      </c>
      <c r="G8" s="58"/>
    </row>
    <row r="9" spans="1:8" x14ac:dyDescent="0.25">
      <c r="A9" s="5">
        <v>8</v>
      </c>
      <c r="B9" s="49" t="s">
        <v>146</v>
      </c>
      <c r="C9" s="59">
        <v>78</v>
      </c>
      <c r="D9" s="49" t="s">
        <v>130</v>
      </c>
      <c r="E9" s="49" t="s">
        <v>149</v>
      </c>
      <c r="F9" s="79">
        <v>1</v>
      </c>
      <c r="G9" s="58"/>
    </row>
    <row r="10" spans="1:8" x14ac:dyDescent="0.25">
      <c r="A10" s="5">
        <v>9</v>
      </c>
      <c r="B10" s="49" t="s">
        <v>83</v>
      </c>
      <c r="C10" s="59">
        <v>77</v>
      </c>
      <c r="D10" s="49" t="s">
        <v>130</v>
      </c>
      <c r="E10" t="s">
        <v>131</v>
      </c>
      <c r="F10" s="59"/>
    </row>
    <row r="11" spans="1:8" x14ac:dyDescent="0.25">
      <c r="A11" s="5">
        <v>10</v>
      </c>
      <c r="B11" s="58" t="s">
        <v>142</v>
      </c>
      <c r="C11" s="59">
        <v>77</v>
      </c>
      <c r="D11" s="58" t="s">
        <v>211</v>
      </c>
      <c r="E11" s="58" t="s">
        <v>212</v>
      </c>
      <c r="F11" s="79">
        <v>2</v>
      </c>
      <c r="G11" s="58"/>
    </row>
    <row r="12" spans="1:8" x14ac:dyDescent="0.25">
      <c r="A12" s="5">
        <v>11</v>
      </c>
      <c r="B12" s="49" t="s">
        <v>105</v>
      </c>
      <c r="C12" s="59">
        <v>72</v>
      </c>
      <c r="D12" s="49" t="s">
        <v>130</v>
      </c>
      <c r="E12" s="49" t="s">
        <v>133</v>
      </c>
    </row>
    <row r="13" spans="1:8" x14ac:dyDescent="0.25">
      <c r="A13" s="5">
        <v>12</v>
      </c>
      <c r="B13" s="49" t="s">
        <v>101</v>
      </c>
      <c r="C13" s="59">
        <v>71</v>
      </c>
      <c r="D13" s="49" t="s">
        <v>137</v>
      </c>
      <c r="E13" s="49" t="s">
        <v>139</v>
      </c>
      <c r="F13" s="79">
        <v>2</v>
      </c>
      <c r="G13" s="58"/>
    </row>
    <row r="14" spans="1:8" x14ac:dyDescent="0.25">
      <c r="A14" s="5">
        <v>13</v>
      </c>
      <c r="B14" s="49" t="s">
        <v>56</v>
      </c>
      <c r="C14" s="59">
        <v>69</v>
      </c>
      <c r="D14" s="49" t="s">
        <v>52</v>
      </c>
      <c r="E14" s="49" t="s">
        <v>55</v>
      </c>
      <c r="F14" s="79">
        <v>1</v>
      </c>
    </row>
    <row r="15" spans="1:8" x14ac:dyDescent="0.25">
      <c r="A15" s="5">
        <v>14</v>
      </c>
      <c r="B15" s="49" t="s">
        <v>168</v>
      </c>
      <c r="C15" s="59">
        <v>68</v>
      </c>
      <c r="D15" s="49" t="s">
        <v>130</v>
      </c>
      <c r="E15" t="s">
        <v>213</v>
      </c>
    </row>
    <row r="16" spans="1:8" x14ac:dyDescent="0.25">
      <c r="A16" s="5">
        <v>15</v>
      </c>
      <c r="B16" s="58" t="s">
        <v>159</v>
      </c>
      <c r="C16" s="59">
        <v>65</v>
      </c>
      <c r="D16" s="58" t="s">
        <v>130</v>
      </c>
      <c r="E16" s="58" t="s">
        <v>167</v>
      </c>
      <c r="F16" s="59"/>
      <c r="G16" s="58"/>
    </row>
    <row r="17" spans="1:7" x14ac:dyDescent="0.25">
      <c r="A17" s="5">
        <v>16</v>
      </c>
      <c r="B17" s="58" t="s">
        <v>19</v>
      </c>
      <c r="C17" s="59">
        <v>64</v>
      </c>
      <c r="D17" s="58" t="s">
        <v>51</v>
      </c>
      <c r="E17" s="58" t="s">
        <v>79</v>
      </c>
      <c r="F17" s="79">
        <v>1</v>
      </c>
      <c r="G17" s="58"/>
    </row>
    <row r="18" spans="1:7" x14ac:dyDescent="0.25">
      <c r="A18" s="5">
        <v>17</v>
      </c>
      <c r="B18" s="49" t="s">
        <v>144</v>
      </c>
      <c r="C18" s="59">
        <v>61</v>
      </c>
      <c r="D18" s="49" t="s">
        <v>130</v>
      </c>
      <c r="E18" s="49" t="s">
        <v>149</v>
      </c>
    </row>
    <row r="19" spans="1:7" x14ac:dyDescent="0.25">
      <c r="A19" s="5">
        <v>18</v>
      </c>
      <c r="B19" s="49" t="s">
        <v>16</v>
      </c>
      <c r="C19" s="59">
        <v>60</v>
      </c>
      <c r="D19" s="49" t="s">
        <v>51</v>
      </c>
      <c r="E19" s="49" t="s">
        <v>80</v>
      </c>
      <c r="F19" s="79">
        <v>3</v>
      </c>
      <c r="G19" s="58"/>
    </row>
    <row r="20" spans="1:7" x14ac:dyDescent="0.25">
      <c r="A20" s="5">
        <v>19</v>
      </c>
      <c r="B20" s="58" t="s">
        <v>12</v>
      </c>
      <c r="C20" s="59">
        <v>55</v>
      </c>
      <c r="D20" s="58" t="s">
        <v>51</v>
      </c>
      <c r="E20" s="58" t="s">
        <v>79</v>
      </c>
      <c r="F20" s="79">
        <v>3</v>
      </c>
      <c r="G20" s="58"/>
    </row>
    <row r="21" spans="1:7" x14ac:dyDescent="0.25">
      <c r="A21" s="5">
        <v>20</v>
      </c>
      <c r="B21" s="58" t="s">
        <v>96</v>
      </c>
      <c r="C21" s="59">
        <v>52</v>
      </c>
      <c r="D21" s="58" t="s">
        <v>137</v>
      </c>
      <c r="E21" s="58" t="s">
        <v>138</v>
      </c>
      <c r="F21" s="79">
        <v>1</v>
      </c>
      <c r="G21" s="58"/>
    </row>
    <row r="22" spans="1:7" x14ac:dyDescent="0.25">
      <c r="A22" s="5">
        <v>21</v>
      </c>
      <c r="B22" s="49" t="s">
        <v>161</v>
      </c>
      <c r="C22" s="59">
        <v>48</v>
      </c>
      <c r="D22" s="49" t="s">
        <v>130</v>
      </c>
      <c r="E22" t="s">
        <v>167</v>
      </c>
      <c r="F22" s="59"/>
    </row>
    <row r="23" spans="1:7" x14ac:dyDescent="0.25">
      <c r="A23" s="5">
        <v>22</v>
      </c>
      <c r="B23" s="49" t="s">
        <v>172</v>
      </c>
      <c r="C23" s="59">
        <v>48</v>
      </c>
      <c r="D23" s="49" t="s">
        <v>130</v>
      </c>
      <c r="E23" t="s">
        <v>213</v>
      </c>
    </row>
    <row r="24" spans="1:7" x14ac:dyDescent="0.25">
      <c r="A24" s="5">
        <v>23</v>
      </c>
      <c r="B24" s="49" t="s">
        <v>60</v>
      </c>
      <c r="C24" s="61">
        <v>47</v>
      </c>
      <c r="D24" s="49" t="s">
        <v>51</v>
      </c>
      <c r="E24" s="49" t="s">
        <v>81</v>
      </c>
      <c r="F24" s="115">
        <v>1</v>
      </c>
      <c r="G24" s="49"/>
    </row>
    <row r="25" spans="1:7" x14ac:dyDescent="0.25">
      <c r="A25" s="5">
        <v>24</v>
      </c>
      <c r="B25" s="49" t="s">
        <v>89</v>
      </c>
      <c r="C25" s="59">
        <v>39</v>
      </c>
      <c r="D25" s="49" t="s">
        <v>130</v>
      </c>
      <c r="E25" t="s">
        <v>132</v>
      </c>
    </row>
    <row r="26" spans="1:7" x14ac:dyDescent="0.25">
      <c r="A26" s="5">
        <v>25</v>
      </c>
      <c r="B26" s="49" t="s">
        <v>102</v>
      </c>
      <c r="C26" s="59">
        <v>39</v>
      </c>
      <c r="D26" s="49" t="s">
        <v>137</v>
      </c>
      <c r="E26" s="49" t="s">
        <v>139</v>
      </c>
      <c r="F26" s="79">
        <v>1</v>
      </c>
      <c r="G26" s="58"/>
    </row>
    <row r="27" spans="1:7" x14ac:dyDescent="0.25">
      <c r="A27" s="5">
        <v>26</v>
      </c>
      <c r="B27" s="49" t="s">
        <v>84</v>
      </c>
      <c r="C27" s="59">
        <v>36</v>
      </c>
      <c r="D27" s="49" t="s">
        <v>130</v>
      </c>
      <c r="E27" t="s">
        <v>131</v>
      </c>
    </row>
    <row r="28" spans="1:7" x14ac:dyDescent="0.25">
      <c r="A28" s="5">
        <v>27</v>
      </c>
      <c r="B28" s="58" t="s">
        <v>72</v>
      </c>
      <c r="C28" s="59">
        <v>33</v>
      </c>
      <c r="D28" s="58" t="s">
        <v>52</v>
      </c>
      <c r="E28" s="58" t="s">
        <v>57</v>
      </c>
      <c r="F28" s="79">
        <v>3</v>
      </c>
      <c r="G28" s="58"/>
    </row>
    <row r="29" spans="1:7" x14ac:dyDescent="0.25">
      <c r="A29" s="5">
        <v>28</v>
      </c>
      <c r="B29" s="49" t="s">
        <v>117</v>
      </c>
      <c r="C29" s="59">
        <v>32</v>
      </c>
      <c r="D29" s="49" t="s">
        <v>52</v>
      </c>
      <c r="E29" s="49" t="s">
        <v>128</v>
      </c>
      <c r="F29" s="79">
        <v>3</v>
      </c>
      <c r="G29" t="s">
        <v>136</v>
      </c>
    </row>
    <row r="30" spans="1:7" x14ac:dyDescent="0.25">
      <c r="A30" s="5">
        <v>29</v>
      </c>
      <c r="B30" s="49" t="s">
        <v>104</v>
      </c>
      <c r="C30" s="61">
        <v>32</v>
      </c>
      <c r="D30" s="49" t="s">
        <v>137</v>
      </c>
      <c r="E30" s="49" t="s">
        <v>139</v>
      </c>
      <c r="F30" s="61"/>
      <c r="G30" s="49"/>
    </row>
    <row r="31" spans="1:7" x14ac:dyDescent="0.25">
      <c r="A31" s="5">
        <v>30</v>
      </c>
      <c r="B31" s="58" t="s">
        <v>61</v>
      </c>
      <c r="C31" s="59">
        <v>28</v>
      </c>
      <c r="D31" s="58" t="s">
        <v>51</v>
      </c>
      <c r="E31" s="58" t="s">
        <v>81</v>
      </c>
      <c r="F31" s="79">
        <v>1</v>
      </c>
      <c r="G31" s="58"/>
    </row>
    <row r="32" spans="1:7" x14ac:dyDescent="0.25">
      <c r="A32" s="5">
        <v>31</v>
      </c>
      <c r="B32" s="49" t="s">
        <v>106</v>
      </c>
      <c r="C32" s="61">
        <v>27</v>
      </c>
      <c r="D32" s="49" t="s">
        <v>130</v>
      </c>
      <c r="E32" s="113" t="s">
        <v>133</v>
      </c>
      <c r="F32" s="59"/>
      <c r="G32" s="49"/>
    </row>
    <row r="33" spans="1:7" x14ac:dyDescent="0.25">
      <c r="A33" s="5">
        <v>32</v>
      </c>
      <c r="B33" s="58" t="s">
        <v>65</v>
      </c>
      <c r="C33" s="59">
        <v>0</v>
      </c>
      <c r="D33" s="58" t="s">
        <v>52</v>
      </c>
      <c r="E33" s="58" t="s">
        <v>55</v>
      </c>
      <c r="F33" s="59"/>
      <c r="G33" s="58"/>
    </row>
    <row r="34" spans="1:7" x14ac:dyDescent="0.25">
      <c r="A34" s="5">
        <v>33</v>
      </c>
      <c r="B34" s="58" t="s">
        <v>120</v>
      </c>
      <c r="C34" s="59">
        <v>0</v>
      </c>
      <c r="D34" s="58" t="s">
        <v>52</v>
      </c>
      <c r="E34" s="58" t="s">
        <v>128</v>
      </c>
      <c r="F34" s="79">
        <v>1</v>
      </c>
      <c r="G34" s="58"/>
    </row>
    <row r="35" spans="1:7" x14ac:dyDescent="0.25">
      <c r="A35" s="5">
        <v>34</v>
      </c>
      <c r="B35" s="49" t="s">
        <v>194</v>
      </c>
      <c r="C35" s="59">
        <v>0</v>
      </c>
      <c r="D35" s="49" t="s">
        <v>195</v>
      </c>
      <c r="E35" s="49" t="s">
        <v>196</v>
      </c>
    </row>
    <row r="36" spans="1:7" x14ac:dyDescent="0.25">
      <c r="A36" s="5">
        <v>35</v>
      </c>
      <c r="B36" s="49" t="s">
        <v>199</v>
      </c>
      <c r="C36" s="59">
        <v>0</v>
      </c>
      <c r="D36" s="49" t="s">
        <v>204</v>
      </c>
      <c r="E36" s="49" t="s">
        <v>205</v>
      </c>
      <c r="F36" s="59"/>
      <c r="G36" s="58"/>
    </row>
    <row r="37" spans="1:7" x14ac:dyDescent="0.25">
      <c r="A37" s="5">
        <v>36</v>
      </c>
      <c r="B37" s="49" t="s">
        <v>198</v>
      </c>
      <c r="C37" s="59">
        <v>0</v>
      </c>
      <c r="D37" s="49" t="s">
        <v>204</v>
      </c>
      <c r="E37" t="s">
        <v>205</v>
      </c>
      <c r="G37" t="s">
        <v>206</v>
      </c>
    </row>
    <row r="38" spans="1:7" x14ac:dyDescent="0.25">
      <c r="A38" s="5">
        <v>37</v>
      </c>
      <c r="B38" s="49" t="s">
        <v>190</v>
      </c>
      <c r="C38" s="59">
        <v>0</v>
      </c>
      <c r="D38" s="49" t="s">
        <v>207</v>
      </c>
      <c r="E38" s="49" t="s">
        <v>208</v>
      </c>
      <c r="F38" s="79">
        <v>1</v>
      </c>
    </row>
    <row r="39" spans="1:7" x14ac:dyDescent="0.25">
      <c r="A39" s="5">
        <v>38</v>
      </c>
      <c r="B39" s="58" t="s">
        <v>182</v>
      </c>
      <c r="C39" s="59">
        <v>0</v>
      </c>
      <c r="D39" s="58" t="s">
        <v>207</v>
      </c>
      <c r="E39" s="58" t="s">
        <v>209</v>
      </c>
      <c r="F39" s="79">
        <v>2</v>
      </c>
      <c r="G39" s="58" t="s">
        <v>210</v>
      </c>
    </row>
    <row r="40" spans="1:7" x14ac:dyDescent="0.25">
      <c r="A40" s="5">
        <v>39</v>
      </c>
      <c r="B40" s="58" t="s">
        <v>153</v>
      </c>
      <c r="C40" s="59">
        <v>0</v>
      </c>
      <c r="D40" s="58" t="s">
        <v>130</v>
      </c>
      <c r="E40" s="58" t="s">
        <v>156</v>
      </c>
      <c r="F40" s="59"/>
      <c r="G40" s="58" t="s">
        <v>214</v>
      </c>
    </row>
    <row r="41" spans="1:7" x14ac:dyDescent="0.25">
      <c r="A41" s="5">
        <v>40</v>
      </c>
      <c r="B41" s="58" t="s">
        <v>53</v>
      </c>
      <c r="C41" s="59">
        <v>85</v>
      </c>
      <c r="D41" s="58" t="s">
        <v>52</v>
      </c>
      <c r="E41" s="58" t="s">
        <v>57</v>
      </c>
      <c r="F41" s="59"/>
      <c r="G41" s="58" t="s">
        <v>215</v>
      </c>
    </row>
    <row r="42" spans="1:7" x14ac:dyDescent="0.25">
      <c r="B42" s="49"/>
      <c r="D42" s="49"/>
      <c r="E42" s="49"/>
    </row>
    <row r="43" spans="1:7" x14ac:dyDescent="0.25">
      <c r="C43" s="59"/>
      <c r="D43" s="49"/>
      <c r="F43" s="59"/>
      <c r="G43" s="58"/>
    </row>
    <row r="44" spans="1:7" x14ac:dyDescent="0.25">
      <c r="B44" s="49" t="s">
        <v>31</v>
      </c>
      <c r="D44" s="49"/>
    </row>
    <row r="45" spans="1:7" s="62" customFormat="1" x14ac:dyDescent="0.25">
      <c r="A45" s="62" t="s">
        <v>32</v>
      </c>
      <c r="B45" s="62" t="s">
        <v>33</v>
      </c>
      <c r="C45" s="62" t="s">
        <v>34</v>
      </c>
      <c r="D45" s="62" t="s">
        <v>35</v>
      </c>
      <c r="E45" s="123" t="s">
        <v>36</v>
      </c>
      <c r="F45" s="123" t="s">
        <v>37</v>
      </c>
      <c r="G45" s="62" t="s">
        <v>38</v>
      </c>
    </row>
    <row r="46" spans="1:7" s="118" customFormat="1" ht="15.75" thickBot="1" x14ac:dyDescent="0.3">
      <c r="A46" s="119">
        <v>1</v>
      </c>
      <c r="B46" s="120" t="s">
        <v>153</v>
      </c>
      <c r="C46" s="120">
        <v>80</v>
      </c>
      <c r="D46" s="120">
        <v>1</v>
      </c>
      <c r="E46" s="121">
        <v>1.8</v>
      </c>
      <c r="F46" s="122"/>
      <c r="G46" s="120" t="s">
        <v>156</v>
      </c>
    </row>
    <row r="47" spans="1:7" x14ac:dyDescent="0.25">
      <c r="A47" s="60">
        <v>2</v>
      </c>
      <c r="B47" s="113" t="s">
        <v>170</v>
      </c>
      <c r="C47" s="113">
        <v>75</v>
      </c>
      <c r="D47" s="113">
        <v>1</v>
      </c>
      <c r="E47" s="114">
        <v>0.75</v>
      </c>
      <c r="F47" s="117"/>
      <c r="G47" s="113" t="s">
        <v>213</v>
      </c>
    </row>
    <row r="48" spans="1:7" x14ac:dyDescent="0.25">
      <c r="A48" s="60">
        <v>3</v>
      </c>
      <c r="B48" s="113" t="s">
        <v>110</v>
      </c>
      <c r="C48" s="113">
        <v>60</v>
      </c>
      <c r="D48" s="113">
        <v>0</v>
      </c>
      <c r="E48" s="114">
        <v>2.6</v>
      </c>
      <c r="F48" s="117"/>
      <c r="G48" s="113" t="s">
        <v>133</v>
      </c>
    </row>
    <row r="49" spans="1:7" x14ac:dyDescent="0.25">
      <c r="A49" s="5">
        <v>4</v>
      </c>
      <c r="B49" t="s">
        <v>91</v>
      </c>
      <c r="C49">
        <v>60</v>
      </c>
      <c r="D49">
        <v>0</v>
      </c>
      <c r="E49" s="47">
        <v>2</v>
      </c>
      <c r="F49" s="116"/>
      <c r="G49" t="s">
        <v>132</v>
      </c>
    </row>
    <row r="50" spans="1:7" x14ac:dyDescent="0.25">
      <c r="A50" s="5">
        <v>5</v>
      </c>
      <c r="B50" t="s">
        <v>85</v>
      </c>
      <c r="C50">
        <v>50</v>
      </c>
      <c r="D50">
        <v>1</v>
      </c>
      <c r="E50" s="47">
        <v>1</v>
      </c>
      <c r="F50" s="116"/>
      <c r="G50" t="s">
        <v>131</v>
      </c>
    </row>
    <row r="51" spans="1:7" x14ac:dyDescent="0.25">
      <c r="A51" s="5">
        <v>6</v>
      </c>
      <c r="B51" t="s">
        <v>147</v>
      </c>
      <c r="C51">
        <v>50</v>
      </c>
      <c r="D51">
        <v>0</v>
      </c>
      <c r="E51" s="47">
        <v>0</v>
      </c>
      <c r="F51" s="116"/>
      <c r="G51" t="s">
        <v>149</v>
      </c>
    </row>
    <row r="52" spans="1:7" x14ac:dyDescent="0.25">
      <c r="A52" s="5">
        <v>7</v>
      </c>
      <c r="B52" t="s">
        <v>160</v>
      </c>
      <c r="C52">
        <v>50</v>
      </c>
      <c r="D52">
        <v>0</v>
      </c>
      <c r="E52" s="47">
        <v>-0.25</v>
      </c>
      <c r="F52" s="116"/>
      <c r="G52" t="s">
        <v>167</v>
      </c>
    </row>
    <row r="53" spans="1:7" x14ac:dyDescent="0.25">
      <c r="C53"/>
      <c r="E53" s="47"/>
      <c r="F53" s="116"/>
    </row>
    <row r="54" spans="1:7" x14ac:dyDescent="0.25">
      <c r="C54"/>
      <c r="E54" s="47"/>
      <c r="F54" s="116"/>
    </row>
    <row r="55" spans="1:7" x14ac:dyDescent="0.25">
      <c r="C55"/>
      <c r="E55" s="47"/>
      <c r="F55" s="116"/>
    </row>
    <row r="56" spans="1:7" x14ac:dyDescent="0.25">
      <c r="C56"/>
      <c r="E56" s="47"/>
      <c r="F56" s="116"/>
    </row>
    <row r="57" spans="1:7" x14ac:dyDescent="0.25">
      <c r="C57"/>
      <c r="E57" s="47"/>
      <c r="F57" s="116"/>
    </row>
  </sheetData>
  <sortState ref="A2:H41">
    <sortCondition descending="1" ref="C2:C41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AB67"/>
  <sheetViews>
    <sheetView topLeftCell="K7" workbookViewId="0">
      <selection activeCell="L28" sqref="L28:S43"/>
    </sheetView>
  </sheetViews>
  <sheetFormatPr defaultRowHeight="15" x14ac:dyDescent="0.25"/>
  <cols>
    <col min="9" max="10" width="9.140625" style="9"/>
    <col min="16" max="18" width="9.140625" customWidth="1"/>
  </cols>
  <sheetData>
    <row r="1" spans="1:28" x14ac:dyDescent="0.25">
      <c r="A1" t="str">
        <f t="shared" ref="A1:H1" si="0">ROW()&amp;COLUMN()</f>
        <v>11</v>
      </c>
      <c r="B1" t="str">
        <f t="shared" si="0"/>
        <v>12</v>
      </c>
      <c r="C1" t="str">
        <f t="shared" si="0"/>
        <v>13</v>
      </c>
      <c r="D1" t="str">
        <f t="shared" si="0"/>
        <v>14</v>
      </c>
      <c r="E1" t="str">
        <f t="shared" si="0"/>
        <v>15</v>
      </c>
      <c r="F1" t="str">
        <f t="shared" si="0"/>
        <v>16</v>
      </c>
      <c r="G1" t="str">
        <f t="shared" si="0"/>
        <v>17</v>
      </c>
      <c r="H1" t="str">
        <f t="shared" si="0"/>
        <v>18</v>
      </c>
      <c r="L1" t="e">
        <f t="shared" ref="L1:S1" si="1">MATCH(A1,$I:$I,0)</f>
        <v>#N/A</v>
      </c>
      <c r="M1" t="e">
        <f t="shared" si="1"/>
        <v>#N/A</v>
      </c>
      <c r="N1" t="e">
        <f t="shared" si="1"/>
        <v>#N/A</v>
      </c>
      <c r="O1" t="e">
        <f t="shared" si="1"/>
        <v>#N/A</v>
      </c>
      <c r="P1" t="e">
        <f t="shared" si="1"/>
        <v>#N/A</v>
      </c>
      <c r="Q1" t="e">
        <f t="shared" si="1"/>
        <v>#N/A</v>
      </c>
      <c r="R1" t="e">
        <f t="shared" si="1"/>
        <v>#N/A</v>
      </c>
      <c r="S1" t="e">
        <f t="shared" si="1"/>
        <v>#N/A</v>
      </c>
      <c r="U1" t="e">
        <f t="shared" ref="U1:AB8" si="2">MATCH(A1,$J:$J,0)</f>
        <v>#N/A</v>
      </c>
      <c r="V1" t="e">
        <f t="shared" si="2"/>
        <v>#N/A</v>
      </c>
      <c r="W1" t="e">
        <f t="shared" si="2"/>
        <v>#N/A</v>
      </c>
      <c r="X1" t="e">
        <f t="shared" si="2"/>
        <v>#N/A</v>
      </c>
      <c r="Y1" t="e">
        <f t="shared" si="2"/>
        <v>#N/A</v>
      </c>
      <c r="Z1" t="e">
        <f t="shared" si="2"/>
        <v>#N/A</v>
      </c>
      <c r="AA1" t="e">
        <f t="shared" si="2"/>
        <v>#N/A</v>
      </c>
      <c r="AB1" t="e">
        <f t="shared" si="2"/>
        <v>#N/A</v>
      </c>
    </row>
    <row r="2" spans="1:28" x14ac:dyDescent="0.25">
      <c r="A2" t="str">
        <f t="shared" ref="A2:E3" si="3">ROW()&amp;COLUMN()</f>
        <v>21</v>
      </c>
      <c r="B2" t="str">
        <f t="shared" si="3"/>
        <v>22</v>
      </c>
      <c r="C2" t="str">
        <f t="shared" si="3"/>
        <v>23</v>
      </c>
      <c r="D2" t="str">
        <f t="shared" si="3"/>
        <v>24</v>
      </c>
      <c r="E2" t="str">
        <f t="shared" si="3"/>
        <v>25</v>
      </c>
      <c r="F2" t="str">
        <f t="shared" ref="F2:H8" si="4">ROW()&amp;COLUMN()</f>
        <v>26</v>
      </c>
      <c r="G2" t="str">
        <f t="shared" si="4"/>
        <v>27</v>
      </c>
      <c r="H2" t="str">
        <f t="shared" si="4"/>
        <v>28</v>
      </c>
      <c r="L2" t="e">
        <f t="shared" ref="L2:N4" si="5">MATCH(A2,$I:$I,0)</f>
        <v>#N/A</v>
      </c>
      <c r="M2" t="e">
        <f t="shared" si="5"/>
        <v>#N/A</v>
      </c>
      <c r="N2" t="e">
        <f t="shared" si="5"/>
        <v>#N/A</v>
      </c>
      <c r="O2" t="e">
        <f t="shared" ref="O2:S4" si="6">MATCH(D2,$I:$I,0)</f>
        <v>#N/A</v>
      </c>
      <c r="P2" t="e">
        <f t="shared" si="6"/>
        <v>#N/A</v>
      </c>
      <c r="Q2" t="e">
        <f t="shared" si="6"/>
        <v>#N/A</v>
      </c>
      <c r="R2" t="e">
        <f t="shared" si="6"/>
        <v>#N/A</v>
      </c>
      <c r="S2" t="e">
        <f t="shared" si="6"/>
        <v>#N/A</v>
      </c>
      <c r="U2" t="e">
        <f t="shared" si="2"/>
        <v>#N/A</v>
      </c>
      <c r="V2" t="e">
        <f t="shared" si="2"/>
        <v>#N/A</v>
      </c>
      <c r="W2" t="e">
        <f t="shared" si="2"/>
        <v>#N/A</v>
      </c>
      <c r="X2" t="e">
        <f t="shared" si="2"/>
        <v>#N/A</v>
      </c>
      <c r="Y2" t="e">
        <f t="shared" si="2"/>
        <v>#N/A</v>
      </c>
      <c r="Z2" t="e">
        <f t="shared" si="2"/>
        <v>#N/A</v>
      </c>
      <c r="AA2" t="e">
        <f t="shared" si="2"/>
        <v>#N/A</v>
      </c>
      <c r="AB2" t="e">
        <f t="shared" si="2"/>
        <v>#N/A</v>
      </c>
    </row>
    <row r="3" spans="1:28" x14ac:dyDescent="0.25">
      <c r="A3" t="str">
        <f t="shared" si="3"/>
        <v>31</v>
      </c>
      <c r="B3" t="str">
        <f t="shared" si="3"/>
        <v>32</v>
      </c>
      <c r="C3" t="str">
        <f t="shared" si="3"/>
        <v>33</v>
      </c>
      <c r="D3" t="str">
        <f t="shared" si="3"/>
        <v>34</v>
      </c>
      <c r="E3" t="str">
        <f t="shared" si="3"/>
        <v>35</v>
      </c>
      <c r="F3" t="str">
        <f t="shared" si="4"/>
        <v>36</v>
      </c>
      <c r="G3" t="str">
        <f t="shared" si="4"/>
        <v>37</v>
      </c>
      <c r="H3" t="str">
        <f t="shared" si="4"/>
        <v>38</v>
      </c>
      <c r="L3" t="e">
        <f t="shared" si="5"/>
        <v>#N/A</v>
      </c>
      <c r="M3" t="e">
        <f t="shared" si="5"/>
        <v>#N/A</v>
      </c>
      <c r="N3" t="e">
        <f t="shared" si="5"/>
        <v>#N/A</v>
      </c>
      <c r="O3" t="e">
        <f t="shared" si="6"/>
        <v>#N/A</v>
      </c>
      <c r="P3" t="e">
        <f t="shared" si="6"/>
        <v>#N/A</v>
      </c>
      <c r="Q3" t="e">
        <f t="shared" si="6"/>
        <v>#N/A</v>
      </c>
      <c r="R3" t="e">
        <f t="shared" si="6"/>
        <v>#N/A</v>
      </c>
      <c r="S3" t="e">
        <f t="shared" si="6"/>
        <v>#N/A</v>
      </c>
      <c r="U3" t="e">
        <f t="shared" si="2"/>
        <v>#N/A</v>
      </c>
      <c r="V3" t="e">
        <f t="shared" si="2"/>
        <v>#N/A</v>
      </c>
      <c r="W3" t="e">
        <f t="shared" si="2"/>
        <v>#N/A</v>
      </c>
      <c r="X3" t="e">
        <f t="shared" si="2"/>
        <v>#N/A</v>
      </c>
      <c r="Y3" t="e">
        <f t="shared" si="2"/>
        <v>#N/A</v>
      </c>
      <c r="Z3" t="e">
        <f t="shared" si="2"/>
        <v>#N/A</v>
      </c>
      <c r="AA3" t="e">
        <f t="shared" si="2"/>
        <v>#N/A</v>
      </c>
      <c r="AB3" t="e">
        <f t="shared" si="2"/>
        <v>#N/A</v>
      </c>
    </row>
    <row r="4" spans="1:28" x14ac:dyDescent="0.25">
      <c r="A4" t="str">
        <f t="shared" ref="A4:E8" si="7">ROW()&amp;COLUMN()</f>
        <v>41</v>
      </c>
      <c r="B4" t="str">
        <f t="shared" si="7"/>
        <v>42</v>
      </c>
      <c r="C4" t="str">
        <f t="shared" si="7"/>
        <v>43</v>
      </c>
      <c r="D4" t="str">
        <f t="shared" si="7"/>
        <v>44</v>
      </c>
      <c r="E4" t="str">
        <f t="shared" si="7"/>
        <v>45</v>
      </c>
      <c r="F4" t="str">
        <f t="shared" si="4"/>
        <v>46</v>
      </c>
      <c r="G4" t="str">
        <f t="shared" si="4"/>
        <v>47</v>
      </c>
      <c r="H4" t="str">
        <f t="shared" si="4"/>
        <v>48</v>
      </c>
      <c r="L4" t="e">
        <f t="shared" si="5"/>
        <v>#N/A</v>
      </c>
      <c r="M4" t="e">
        <f t="shared" si="5"/>
        <v>#N/A</v>
      </c>
      <c r="N4" t="e">
        <f t="shared" si="5"/>
        <v>#N/A</v>
      </c>
      <c r="O4" t="e">
        <f>MATCH(D4,$I:$I,0)</f>
        <v>#N/A</v>
      </c>
      <c r="P4" t="e">
        <f t="shared" si="6"/>
        <v>#N/A</v>
      </c>
      <c r="Q4" t="e">
        <f t="shared" si="6"/>
        <v>#N/A</v>
      </c>
      <c r="R4" t="e">
        <f t="shared" si="6"/>
        <v>#N/A</v>
      </c>
      <c r="S4" t="e">
        <f t="shared" si="6"/>
        <v>#N/A</v>
      </c>
      <c r="U4" t="e">
        <f t="shared" si="2"/>
        <v>#N/A</v>
      </c>
      <c r="V4" t="e">
        <f t="shared" si="2"/>
        <v>#N/A</v>
      </c>
      <c r="W4" t="e">
        <f t="shared" si="2"/>
        <v>#N/A</v>
      </c>
      <c r="X4" t="e">
        <f t="shared" si="2"/>
        <v>#N/A</v>
      </c>
      <c r="Y4" t="e">
        <f t="shared" si="2"/>
        <v>#N/A</v>
      </c>
      <c r="Z4" t="e">
        <f t="shared" si="2"/>
        <v>#N/A</v>
      </c>
      <c r="AA4" t="e">
        <f t="shared" si="2"/>
        <v>#N/A</v>
      </c>
      <c r="AB4" t="e">
        <f t="shared" si="2"/>
        <v>#N/A</v>
      </c>
    </row>
    <row r="5" spans="1:28" x14ac:dyDescent="0.25">
      <c r="A5" t="str">
        <f t="shared" si="7"/>
        <v>51</v>
      </c>
      <c r="B5" t="str">
        <f t="shared" si="7"/>
        <v>52</v>
      </c>
      <c r="C5" t="str">
        <f t="shared" si="7"/>
        <v>53</v>
      </c>
      <c r="D5" t="str">
        <f t="shared" si="7"/>
        <v>54</v>
      </c>
      <c r="E5" t="str">
        <f t="shared" si="7"/>
        <v>55</v>
      </c>
      <c r="F5" t="str">
        <f t="shared" si="4"/>
        <v>56</v>
      </c>
      <c r="G5" t="str">
        <f t="shared" si="4"/>
        <v>57</v>
      </c>
      <c r="H5" t="str">
        <f t="shared" si="4"/>
        <v>58</v>
      </c>
      <c r="L5" t="e">
        <f t="shared" ref="L5:S6" si="8">MATCH(A5,$I:$I,0)</f>
        <v>#N/A</v>
      </c>
      <c r="M5" t="e">
        <f t="shared" si="8"/>
        <v>#N/A</v>
      </c>
      <c r="N5" t="e">
        <f t="shared" si="8"/>
        <v>#N/A</v>
      </c>
      <c r="O5" t="e">
        <f t="shared" si="8"/>
        <v>#N/A</v>
      </c>
      <c r="P5" t="e">
        <f t="shared" si="8"/>
        <v>#N/A</v>
      </c>
      <c r="Q5" t="e">
        <f t="shared" si="8"/>
        <v>#N/A</v>
      </c>
      <c r="R5" t="e">
        <f t="shared" si="8"/>
        <v>#N/A</v>
      </c>
      <c r="S5" t="e">
        <f t="shared" si="8"/>
        <v>#N/A</v>
      </c>
      <c r="U5" t="e">
        <f t="shared" si="2"/>
        <v>#N/A</v>
      </c>
      <c r="V5" t="e">
        <f t="shared" si="2"/>
        <v>#N/A</v>
      </c>
      <c r="W5" t="e">
        <f t="shared" si="2"/>
        <v>#N/A</v>
      </c>
      <c r="X5" t="e">
        <f t="shared" si="2"/>
        <v>#N/A</v>
      </c>
      <c r="Y5" t="e">
        <f t="shared" si="2"/>
        <v>#N/A</v>
      </c>
      <c r="Z5" t="e">
        <f t="shared" si="2"/>
        <v>#N/A</v>
      </c>
      <c r="AA5" t="e">
        <f t="shared" si="2"/>
        <v>#N/A</v>
      </c>
      <c r="AB5" t="e">
        <f t="shared" si="2"/>
        <v>#N/A</v>
      </c>
    </row>
    <row r="6" spans="1:28" x14ac:dyDescent="0.25">
      <c r="A6" t="str">
        <f t="shared" si="7"/>
        <v>61</v>
      </c>
      <c r="B6" t="str">
        <f t="shared" si="7"/>
        <v>62</v>
      </c>
      <c r="C6" t="str">
        <f t="shared" si="7"/>
        <v>63</v>
      </c>
      <c r="D6" t="str">
        <f t="shared" si="7"/>
        <v>64</v>
      </c>
      <c r="E6" t="str">
        <f t="shared" si="7"/>
        <v>65</v>
      </c>
      <c r="F6" t="str">
        <f t="shared" si="4"/>
        <v>66</v>
      </c>
      <c r="G6" t="str">
        <f t="shared" si="4"/>
        <v>67</v>
      </c>
      <c r="H6" t="str">
        <f t="shared" si="4"/>
        <v>68</v>
      </c>
      <c r="L6" t="e">
        <f t="shared" si="8"/>
        <v>#N/A</v>
      </c>
      <c r="M6" t="e">
        <f t="shared" si="8"/>
        <v>#N/A</v>
      </c>
      <c r="N6" t="e">
        <f t="shared" si="8"/>
        <v>#N/A</v>
      </c>
      <c r="O6" t="e">
        <f t="shared" si="8"/>
        <v>#N/A</v>
      </c>
      <c r="P6" t="e">
        <f t="shared" si="8"/>
        <v>#N/A</v>
      </c>
      <c r="Q6" t="e">
        <f t="shared" si="8"/>
        <v>#N/A</v>
      </c>
      <c r="R6" t="e">
        <f t="shared" si="8"/>
        <v>#N/A</v>
      </c>
      <c r="S6" t="e">
        <f t="shared" si="8"/>
        <v>#N/A</v>
      </c>
      <c r="U6" t="e">
        <f t="shared" si="2"/>
        <v>#N/A</v>
      </c>
      <c r="V6" t="e">
        <f t="shared" si="2"/>
        <v>#N/A</v>
      </c>
      <c r="W6" t="e">
        <f t="shared" si="2"/>
        <v>#N/A</v>
      </c>
      <c r="X6" t="e">
        <f t="shared" si="2"/>
        <v>#N/A</v>
      </c>
      <c r="Y6" t="e">
        <f t="shared" si="2"/>
        <v>#N/A</v>
      </c>
      <c r="Z6" t="e">
        <f t="shared" si="2"/>
        <v>#N/A</v>
      </c>
      <c r="AA6" t="e">
        <f t="shared" si="2"/>
        <v>#N/A</v>
      </c>
      <c r="AB6" t="e">
        <f t="shared" si="2"/>
        <v>#N/A</v>
      </c>
    </row>
    <row r="7" spans="1:28" x14ac:dyDescent="0.25">
      <c r="A7" t="str">
        <f t="shared" si="7"/>
        <v>71</v>
      </c>
      <c r="B7" t="str">
        <f t="shared" si="7"/>
        <v>72</v>
      </c>
      <c r="C7" t="str">
        <f t="shared" si="7"/>
        <v>73</v>
      </c>
      <c r="D7" t="str">
        <f t="shared" si="7"/>
        <v>74</v>
      </c>
      <c r="E7" t="str">
        <f t="shared" si="7"/>
        <v>75</v>
      </c>
      <c r="F7" t="str">
        <f t="shared" si="4"/>
        <v>76</v>
      </c>
      <c r="G7" t="str">
        <f t="shared" si="4"/>
        <v>77</v>
      </c>
      <c r="H7" t="str">
        <f t="shared" si="4"/>
        <v>78</v>
      </c>
      <c r="L7" t="e">
        <f t="shared" ref="L7:S8" si="9">MATCH(A7,$I:$I,0)</f>
        <v>#N/A</v>
      </c>
      <c r="M7" t="e">
        <f t="shared" si="9"/>
        <v>#N/A</v>
      </c>
      <c r="N7" t="e">
        <f t="shared" si="9"/>
        <v>#N/A</v>
      </c>
      <c r="O7" t="e">
        <f t="shared" si="9"/>
        <v>#N/A</v>
      </c>
      <c r="P7" t="e">
        <f t="shared" si="9"/>
        <v>#N/A</v>
      </c>
      <c r="Q7" t="e">
        <f t="shared" si="9"/>
        <v>#N/A</v>
      </c>
      <c r="R7" t="e">
        <f t="shared" si="9"/>
        <v>#N/A</v>
      </c>
      <c r="S7" t="e">
        <f t="shared" si="9"/>
        <v>#N/A</v>
      </c>
      <c r="U7" t="e">
        <f t="shared" si="2"/>
        <v>#N/A</v>
      </c>
      <c r="V7" t="e">
        <f t="shared" si="2"/>
        <v>#N/A</v>
      </c>
      <c r="W7" t="e">
        <f t="shared" si="2"/>
        <v>#N/A</v>
      </c>
      <c r="X7" t="e">
        <f t="shared" si="2"/>
        <v>#N/A</v>
      </c>
      <c r="Y7" t="e">
        <f t="shared" si="2"/>
        <v>#N/A</v>
      </c>
      <c r="Z7" t="e">
        <f t="shared" si="2"/>
        <v>#N/A</v>
      </c>
      <c r="AA7" t="e">
        <f t="shared" si="2"/>
        <v>#N/A</v>
      </c>
      <c r="AB7" t="e">
        <f t="shared" si="2"/>
        <v>#N/A</v>
      </c>
    </row>
    <row r="8" spans="1:28" x14ac:dyDescent="0.25">
      <c r="A8" t="str">
        <f t="shared" si="7"/>
        <v>81</v>
      </c>
      <c r="B8" t="str">
        <f t="shared" si="7"/>
        <v>82</v>
      </c>
      <c r="C8" t="str">
        <f t="shared" si="7"/>
        <v>83</v>
      </c>
      <c r="D8" t="str">
        <f t="shared" si="7"/>
        <v>84</v>
      </c>
      <c r="E8" t="str">
        <f t="shared" si="7"/>
        <v>85</v>
      </c>
      <c r="F8" t="str">
        <f t="shared" si="4"/>
        <v>86</v>
      </c>
      <c r="G8" t="str">
        <f t="shared" si="4"/>
        <v>87</v>
      </c>
      <c r="H8" t="str">
        <f t="shared" si="4"/>
        <v>88</v>
      </c>
      <c r="L8" t="e">
        <f t="shared" si="9"/>
        <v>#N/A</v>
      </c>
      <c r="M8" t="e">
        <f t="shared" si="9"/>
        <v>#N/A</v>
      </c>
      <c r="N8" t="e">
        <f t="shared" si="9"/>
        <v>#N/A</v>
      </c>
      <c r="O8" t="e">
        <f t="shared" si="9"/>
        <v>#N/A</v>
      </c>
      <c r="P8" t="e">
        <f t="shared" si="9"/>
        <v>#N/A</v>
      </c>
      <c r="Q8" t="e">
        <f t="shared" si="9"/>
        <v>#N/A</v>
      </c>
      <c r="R8" t="e">
        <f t="shared" si="9"/>
        <v>#N/A</v>
      </c>
      <c r="S8" t="e">
        <f t="shared" si="9"/>
        <v>#N/A</v>
      </c>
      <c r="U8" t="e">
        <f t="shared" si="2"/>
        <v>#N/A</v>
      </c>
      <c r="V8" t="e">
        <f t="shared" si="2"/>
        <v>#N/A</v>
      </c>
      <c r="W8" t="e">
        <f t="shared" si="2"/>
        <v>#N/A</v>
      </c>
      <c r="X8" t="e">
        <f t="shared" si="2"/>
        <v>#N/A</v>
      </c>
      <c r="Y8" t="e">
        <f t="shared" si="2"/>
        <v>#N/A</v>
      </c>
      <c r="Z8" t="e">
        <f t="shared" si="2"/>
        <v>#N/A</v>
      </c>
      <c r="AA8" t="e">
        <f t="shared" si="2"/>
        <v>#N/A</v>
      </c>
      <c r="AB8" t="e">
        <f t="shared" si="2"/>
        <v>#N/A</v>
      </c>
    </row>
    <row r="11" spans="1:28" x14ac:dyDescent="0.25">
      <c r="L1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1" t="str">
        <f t="shared" ref="M11:S11" ca="1" si="10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N11" t="str">
        <f t="shared" ca="1" si="10"/>
        <v/>
      </c>
      <c r="O11" t="str">
        <f t="shared" ca="1" si="10"/>
        <v/>
      </c>
      <c r="P11" t="str">
        <f t="shared" ca="1" si="10"/>
        <v/>
      </c>
      <c r="Q11" t="str">
        <f t="shared" ca="1" si="10"/>
        <v/>
      </c>
      <c r="R11" t="str">
        <f t="shared" ca="1" si="10"/>
        <v/>
      </c>
      <c r="S11" t="str">
        <f t="shared" ca="1" si="10"/>
        <v/>
      </c>
      <c r="U11" t="str">
        <f ca="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1" t="str">
        <f t="shared" ref="V11:AB11" ca="1" si="11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W11" t="str">
        <f t="shared" ca="1" si="11"/>
        <v/>
      </c>
      <c r="X11" t="str">
        <f t="shared" ca="1" si="11"/>
        <v/>
      </c>
      <c r="Y11" t="str">
        <f t="shared" ca="1" si="11"/>
        <v/>
      </c>
      <c r="Z11" t="str">
        <f t="shared" ca="1" si="11"/>
        <v/>
      </c>
      <c r="AA11" t="str">
        <f t="shared" ca="1" si="11"/>
        <v/>
      </c>
      <c r="AB11" t="str">
        <f t="shared" ca="1" si="11"/>
        <v/>
      </c>
    </row>
    <row r="12" spans="1:28" x14ac:dyDescent="0.25">
      <c r="L12" t="str">
        <f t="shared" ref="L12:S26" ca="1" si="12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2" t="str">
        <f t="shared" ca="1" si="12"/>
        <v/>
      </c>
      <c r="N12" t="str">
        <f t="shared" ca="1" si="12"/>
        <v/>
      </c>
      <c r="O12" t="str">
        <f t="shared" ca="1" si="12"/>
        <v/>
      </c>
      <c r="P12" t="str">
        <f t="shared" ca="1" si="12"/>
        <v/>
      </c>
      <c r="Q12" t="str">
        <f t="shared" ca="1" si="12"/>
        <v/>
      </c>
      <c r="R12" t="str">
        <f t="shared" ca="1" si="12"/>
        <v/>
      </c>
      <c r="S12" t="str">
        <f t="shared" ca="1" si="12"/>
        <v/>
      </c>
      <c r="U12" t="str">
        <f t="shared" ref="U12:AB26" ca="1" si="13">IF(ISNA(INDIRECT(ADDRESS(ROUND(ROW()/2,0)-5,COLUMN()))),"",IF(ISODD(ROW()),"двссыл(адрес("&amp;INDIRECT(ADDRESS(ROUND(ROW()/2,0)-5,COLUMN()))&amp;",7))&amp;"":""&amp;двссыл(адрес("&amp;INDIRECT(ADDRESS(ROUND(ROW()/2,0)-5,COLUMN()))&amp;",6))","ЕСЛИ(длстр(двссыл(адрес(строка()-1, столбец())))=1,"""",двссыл(адрес("&amp;INDIRECT(ADDRESS(ROUND(ROW()/2,0)-5,COLUMN()))&amp;",7))-двссыл(адрес("&amp;INDIRECT(ADDRESS(ROUND(ROW()/2,0)-5,COLUMN()))&amp;",6)))"))</f>
        <v/>
      </c>
      <c r="V12" t="str">
        <f t="shared" ca="1" si="13"/>
        <v/>
      </c>
      <c r="W12" t="str">
        <f t="shared" ca="1" si="13"/>
        <v/>
      </c>
      <c r="X12" t="str">
        <f t="shared" ca="1" si="13"/>
        <v/>
      </c>
      <c r="Y12" t="str">
        <f t="shared" ca="1" si="13"/>
        <v/>
      </c>
      <c r="Z12" t="str">
        <f t="shared" ca="1" si="13"/>
        <v/>
      </c>
      <c r="AA12" t="str">
        <f t="shared" ca="1" si="13"/>
        <v/>
      </c>
      <c r="AB12" t="str">
        <f t="shared" ca="1" si="13"/>
        <v/>
      </c>
    </row>
    <row r="13" spans="1:28" x14ac:dyDescent="0.25">
      <c r="L13" t="str">
        <f t="shared" ca="1" si="12"/>
        <v/>
      </c>
      <c r="M13" t="str">
        <f t="shared" ca="1" si="12"/>
        <v/>
      </c>
      <c r="N13" t="str">
        <f t="shared" ca="1" si="12"/>
        <v/>
      </c>
      <c r="O13" t="str">
        <f t="shared" ca="1" si="12"/>
        <v/>
      </c>
      <c r="P13" t="str">
        <f t="shared" ca="1" si="12"/>
        <v/>
      </c>
      <c r="Q13" t="str">
        <f t="shared" ca="1" si="12"/>
        <v/>
      </c>
      <c r="R13" t="str">
        <f t="shared" ca="1" si="12"/>
        <v/>
      </c>
      <c r="S13" t="str">
        <f t="shared" ca="1" si="12"/>
        <v/>
      </c>
      <c r="U13" t="str">
        <f t="shared" ca="1" si="13"/>
        <v/>
      </c>
      <c r="V13" t="str">
        <f t="shared" ca="1" si="13"/>
        <v/>
      </c>
      <c r="W13" t="str">
        <f t="shared" ca="1" si="13"/>
        <v/>
      </c>
      <c r="X13" t="str">
        <f t="shared" ca="1" si="13"/>
        <v/>
      </c>
      <c r="Y13" t="str">
        <f t="shared" ca="1" si="13"/>
        <v/>
      </c>
      <c r="Z13" t="str">
        <f t="shared" ca="1" si="13"/>
        <v/>
      </c>
      <c r="AA13" t="str">
        <f t="shared" ca="1" si="13"/>
        <v/>
      </c>
      <c r="AB13" t="str">
        <f t="shared" ca="1" si="13"/>
        <v/>
      </c>
    </row>
    <row r="14" spans="1:28" x14ac:dyDescent="0.25">
      <c r="L14" t="str">
        <f t="shared" ca="1" si="12"/>
        <v/>
      </c>
      <c r="M14" t="str">
        <f t="shared" ca="1" si="12"/>
        <v/>
      </c>
      <c r="N14" t="str">
        <f t="shared" ca="1" si="12"/>
        <v/>
      </c>
      <c r="O14" t="str">
        <f t="shared" ca="1" si="12"/>
        <v/>
      </c>
      <c r="P14" t="str">
        <f t="shared" ca="1" si="12"/>
        <v/>
      </c>
      <c r="Q14" t="str">
        <f t="shared" ca="1" si="12"/>
        <v/>
      </c>
      <c r="R14" t="str">
        <f t="shared" ca="1" si="12"/>
        <v/>
      </c>
      <c r="S14" t="str">
        <f t="shared" ca="1" si="12"/>
        <v/>
      </c>
      <c r="U14" t="str">
        <f t="shared" ca="1" si="13"/>
        <v/>
      </c>
      <c r="V14" t="str">
        <f t="shared" ca="1" si="13"/>
        <v/>
      </c>
      <c r="W14" t="str">
        <f t="shared" ca="1" si="13"/>
        <v/>
      </c>
      <c r="X14" t="str">
        <f t="shared" ca="1" si="13"/>
        <v/>
      </c>
      <c r="Y14" t="str">
        <f t="shared" ca="1" si="13"/>
        <v/>
      </c>
      <c r="Z14" t="str">
        <f t="shared" ca="1" si="13"/>
        <v/>
      </c>
      <c r="AA14" t="str">
        <f t="shared" ca="1" si="13"/>
        <v/>
      </c>
      <c r="AB14" t="str">
        <f t="shared" ca="1" si="13"/>
        <v/>
      </c>
    </row>
    <row r="15" spans="1:28" x14ac:dyDescent="0.25">
      <c r="L15" t="str">
        <f t="shared" ca="1" si="12"/>
        <v/>
      </c>
      <c r="M15" t="str">
        <f t="shared" ca="1" si="12"/>
        <v/>
      </c>
      <c r="N15" t="str">
        <f t="shared" ca="1" si="12"/>
        <v/>
      </c>
      <c r="O15" t="str">
        <f t="shared" ca="1" si="12"/>
        <v/>
      </c>
      <c r="P15" t="str">
        <f t="shared" ca="1" si="12"/>
        <v/>
      </c>
      <c r="Q15" t="str">
        <f t="shared" ca="1" si="12"/>
        <v/>
      </c>
      <c r="R15" t="str">
        <f t="shared" ca="1" si="12"/>
        <v/>
      </c>
      <c r="S15" t="str">
        <f t="shared" ca="1" si="12"/>
        <v/>
      </c>
      <c r="U15" t="str">
        <f t="shared" ca="1" si="13"/>
        <v/>
      </c>
      <c r="V15" t="str">
        <f t="shared" ca="1" si="13"/>
        <v/>
      </c>
      <c r="W15" t="str">
        <f t="shared" ca="1" si="13"/>
        <v/>
      </c>
      <c r="X15" t="str">
        <f t="shared" ca="1" si="13"/>
        <v/>
      </c>
      <c r="Y15" t="str">
        <f t="shared" ca="1" si="13"/>
        <v/>
      </c>
      <c r="Z15" t="str">
        <f t="shared" ca="1" si="13"/>
        <v/>
      </c>
      <c r="AA15" t="str">
        <f t="shared" ca="1" si="13"/>
        <v/>
      </c>
      <c r="AB15" t="str">
        <f t="shared" ca="1" si="13"/>
        <v/>
      </c>
    </row>
    <row r="16" spans="1:28" x14ac:dyDescent="0.25">
      <c r="L16" t="str">
        <f t="shared" ca="1" si="12"/>
        <v/>
      </c>
      <c r="M16" t="str">
        <f t="shared" ca="1" si="12"/>
        <v/>
      </c>
      <c r="N16" t="str">
        <f t="shared" ca="1" si="12"/>
        <v/>
      </c>
      <c r="O16" t="str">
        <f t="shared" ca="1" si="12"/>
        <v/>
      </c>
      <c r="P16" t="str">
        <f t="shared" ca="1" si="12"/>
        <v/>
      </c>
      <c r="Q16" t="str">
        <f t="shared" ca="1" si="12"/>
        <v/>
      </c>
      <c r="R16" t="str">
        <f t="shared" ca="1" si="12"/>
        <v/>
      </c>
      <c r="S16" t="str">
        <f t="shared" ca="1" si="12"/>
        <v/>
      </c>
      <c r="U16" t="str">
        <f t="shared" ca="1" si="13"/>
        <v/>
      </c>
      <c r="V16" t="str">
        <f t="shared" ca="1" si="13"/>
        <v/>
      </c>
      <c r="W16" t="str">
        <f t="shared" ca="1" si="13"/>
        <v/>
      </c>
      <c r="X16" t="str">
        <f t="shared" ca="1" si="13"/>
        <v/>
      </c>
      <c r="Y16" t="str">
        <f t="shared" ca="1" si="13"/>
        <v/>
      </c>
      <c r="Z16" t="str">
        <f t="shared" ca="1" si="13"/>
        <v/>
      </c>
      <c r="AA16" t="str">
        <f t="shared" ca="1" si="13"/>
        <v/>
      </c>
      <c r="AB16" t="str">
        <f t="shared" ca="1" si="13"/>
        <v/>
      </c>
    </row>
    <row r="17" spans="9:28" x14ac:dyDescent="0.25">
      <c r="L17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7" t="str">
        <f t="shared" ca="1" si="12"/>
        <v/>
      </c>
      <c r="N17" t="str">
        <f t="shared" ca="1" si="12"/>
        <v/>
      </c>
      <c r="O17" t="str">
        <f t="shared" ca="1" si="12"/>
        <v/>
      </c>
      <c r="P17" t="str">
        <f t="shared" ca="1" si="12"/>
        <v/>
      </c>
      <c r="Q17" t="str">
        <f t="shared" ca="1" si="12"/>
        <v/>
      </c>
      <c r="R17" t="str">
        <f t="shared" ca="1" si="12"/>
        <v/>
      </c>
      <c r="S17" t="str">
        <f t="shared" ca="1" si="12"/>
        <v/>
      </c>
      <c r="U17" t="str">
        <f t="shared" ca="1" si="13"/>
        <v/>
      </c>
      <c r="V17" t="str">
        <f t="shared" ca="1" si="13"/>
        <v/>
      </c>
      <c r="W17" t="str">
        <f t="shared" ca="1" si="13"/>
        <v/>
      </c>
      <c r="X17" t="str">
        <f t="shared" ca="1" si="13"/>
        <v/>
      </c>
      <c r="Y17" t="str">
        <f t="shared" ca="1" si="13"/>
        <v/>
      </c>
      <c r="Z17" t="str">
        <f t="shared" ca="1" si="13"/>
        <v/>
      </c>
      <c r="AA17" t="str">
        <f t="shared" ca="1" si="13"/>
        <v/>
      </c>
      <c r="AB17" t="str">
        <f t="shared" ca="1" si="13"/>
        <v/>
      </c>
    </row>
    <row r="18" spans="9:28" x14ac:dyDescent="0.25">
      <c r="L18" t="str">
        <f t="shared" ca="1" si="12"/>
        <v/>
      </c>
      <c r="M18" t="str">
        <f t="shared" ca="1" si="12"/>
        <v/>
      </c>
      <c r="N18" t="str">
        <f t="shared" ca="1" si="12"/>
        <v/>
      </c>
      <c r="O18" t="str">
        <f t="shared" ca="1" si="12"/>
        <v/>
      </c>
      <c r="P18" t="str">
        <f t="shared" ca="1" si="12"/>
        <v/>
      </c>
      <c r="Q18" t="str">
        <f t="shared" ca="1" si="12"/>
        <v/>
      </c>
      <c r="R18" t="str">
        <f t="shared" ca="1" si="12"/>
        <v/>
      </c>
      <c r="S18" t="str">
        <f t="shared" ca="1" si="12"/>
        <v/>
      </c>
      <c r="U18" t="str">
        <f t="shared" ca="1" si="13"/>
        <v/>
      </c>
      <c r="V18" t="str">
        <f t="shared" ca="1" si="13"/>
        <v/>
      </c>
      <c r="W18" t="str">
        <f t="shared" ca="1" si="13"/>
        <v/>
      </c>
      <c r="X18" t="str">
        <f t="shared" ca="1" si="13"/>
        <v/>
      </c>
      <c r="Y18" t="str">
        <f t="shared" ca="1" si="13"/>
        <v/>
      </c>
      <c r="Z18" t="str">
        <f t="shared" ca="1" si="13"/>
        <v/>
      </c>
      <c r="AA18" t="str">
        <f t="shared" ca="1" si="13"/>
        <v/>
      </c>
      <c r="AB18" t="str">
        <f t="shared" ca="1" si="13"/>
        <v/>
      </c>
    </row>
    <row r="19" spans="9:28" x14ac:dyDescent="0.25">
      <c r="L19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19" t="str">
        <f t="shared" ca="1" si="12"/>
        <v/>
      </c>
      <c r="N19" t="str">
        <f t="shared" ca="1" si="12"/>
        <v/>
      </c>
      <c r="O19" t="str">
        <f t="shared" ca="1" si="12"/>
        <v/>
      </c>
      <c r="P19" t="str">
        <f t="shared" ca="1" si="12"/>
        <v/>
      </c>
      <c r="Q19" t="str">
        <f t="shared" ca="1" si="12"/>
        <v/>
      </c>
      <c r="R19" t="str">
        <f t="shared" ca="1" si="12"/>
        <v/>
      </c>
      <c r="S19" t="str">
        <f t="shared" ca="1" si="12"/>
        <v/>
      </c>
      <c r="U19" t="str">
        <f t="shared" ca="1" si="13"/>
        <v/>
      </c>
      <c r="V19" t="str">
        <f t="shared" ca="1" si="13"/>
        <v/>
      </c>
      <c r="W19" t="str">
        <f t="shared" ca="1" si="13"/>
        <v/>
      </c>
      <c r="X19" t="str">
        <f t="shared" ca="1" si="13"/>
        <v/>
      </c>
      <c r="Y19" t="str">
        <f t="shared" ca="1" si="13"/>
        <v/>
      </c>
      <c r="Z19" t="str">
        <f t="shared" ca="1" si="13"/>
        <v/>
      </c>
      <c r="AA19" t="str">
        <f t="shared" ca="1" si="13"/>
        <v/>
      </c>
      <c r="AB19" t="str">
        <f t="shared" ca="1" si="13"/>
        <v/>
      </c>
    </row>
    <row r="20" spans="9:28" x14ac:dyDescent="0.25">
      <c r="L20" t="str">
        <f t="shared" ca="1" si="12"/>
        <v/>
      </c>
      <c r="M20" t="str">
        <f t="shared" ca="1" si="12"/>
        <v/>
      </c>
      <c r="N20" t="str">
        <f t="shared" ca="1" si="12"/>
        <v/>
      </c>
      <c r="O20" t="str">
        <f t="shared" ca="1" si="12"/>
        <v/>
      </c>
      <c r="P20" t="str">
        <f t="shared" ca="1" si="12"/>
        <v/>
      </c>
      <c r="Q20" t="str">
        <f t="shared" ca="1" si="12"/>
        <v/>
      </c>
      <c r="R20" t="str">
        <f t="shared" ca="1" si="12"/>
        <v/>
      </c>
      <c r="S20" t="str">
        <f t="shared" ca="1" si="12"/>
        <v/>
      </c>
      <c r="U20" t="str">
        <f t="shared" ca="1" si="13"/>
        <v/>
      </c>
      <c r="V20" t="str">
        <f t="shared" ca="1" si="13"/>
        <v/>
      </c>
      <c r="W20" t="str">
        <f t="shared" ca="1" si="13"/>
        <v/>
      </c>
      <c r="X20" t="str">
        <f t="shared" ca="1" si="13"/>
        <v/>
      </c>
      <c r="Y20" t="str">
        <f t="shared" ca="1" si="13"/>
        <v/>
      </c>
      <c r="Z20" t="str">
        <f t="shared" ca="1" si="13"/>
        <v/>
      </c>
      <c r="AA20" t="str">
        <f t="shared" ca="1" si="13"/>
        <v/>
      </c>
      <c r="AB20" t="str">
        <f t="shared" ca="1" si="13"/>
        <v/>
      </c>
    </row>
    <row r="21" spans="9:28" x14ac:dyDescent="0.25">
      <c r="L21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1" t="str">
        <f t="shared" ca="1" si="12"/>
        <v/>
      </c>
      <c r="N21" t="str">
        <f t="shared" ca="1" si="12"/>
        <v/>
      </c>
      <c r="O21" t="str">
        <f t="shared" ca="1" si="12"/>
        <v/>
      </c>
      <c r="P21" t="str">
        <f t="shared" ca="1" si="12"/>
        <v/>
      </c>
      <c r="Q21" t="str">
        <f t="shared" ca="1" si="12"/>
        <v/>
      </c>
      <c r="R21" t="str">
        <f t="shared" ca="1" si="12"/>
        <v/>
      </c>
      <c r="S21" t="str">
        <f t="shared" ca="1" si="12"/>
        <v/>
      </c>
      <c r="U21" t="str">
        <f t="shared" ca="1" si="13"/>
        <v/>
      </c>
      <c r="V21" t="str">
        <f t="shared" ca="1" si="13"/>
        <v/>
      </c>
      <c r="W21" t="str">
        <f t="shared" ca="1" si="13"/>
        <v/>
      </c>
      <c r="X21" t="str">
        <f t="shared" ca="1" si="13"/>
        <v/>
      </c>
      <c r="Y21" t="str">
        <f t="shared" ca="1" si="13"/>
        <v/>
      </c>
      <c r="Z21" t="str">
        <f t="shared" ca="1" si="13"/>
        <v/>
      </c>
      <c r="AA21" t="str">
        <f t="shared" ca="1" si="13"/>
        <v/>
      </c>
      <c r="AB21" t="str">
        <f t="shared" ca="1" si="13"/>
        <v/>
      </c>
    </row>
    <row r="22" spans="9:28" x14ac:dyDescent="0.25">
      <c r="L22" t="str">
        <f t="shared" ca="1" si="12"/>
        <v/>
      </c>
      <c r="M22" t="str">
        <f t="shared" ca="1" si="12"/>
        <v/>
      </c>
      <c r="N22" t="str">
        <f t="shared" ca="1" si="12"/>
        <v/>
      </c>
      <c r="O22" t="str">
        <f t="shared" ca="1" si="12"/>
        <v/>
      </c>
      <c r="P22" t="str">
        <f t="shared" ca="1" si="12"/>
        <v/>
      </c>
      <c r="Q22" t="str">
        <f t="shared" ca="1" si="12"/>
        <v/>
      </c>
      <c r="R22" t="str">
        <f t="shared" ca="1" si="12"/>
        <v/>
      </c>
      <c r="S22" t="str">
        <f t="shared" ca="1" si="12"/>
        <v/>
      </c>
      <c r="U22" t="str">
        <f t="shared" ca="1" si="13"/>
        <v/>
      </c>
      <c r="V22" t="str">
        <f t="shared" ca="1" si="13"/>
        <v/>
      </c>
      <c r="W22" t="str">
        <f t="shared" ca="1" si="13"/>
        <v/>
      </c>
      <c r="X22" t="str">
        <f t="shared" ca="1" si="13"/>
        <v/>
      </c>
      <c r="Y22" t="str">
        <f t="shared" ca="1" si="13"/>
        <v/>
      </c>
      <c r="Z22" t="str">
        <f t="shared" ca="1" si="13"/>
        <v/>
      </c>
      <c r="AA22" t="str">
        <f t="shared" ca="1" si="13"/>
        <v/>
      </c>
      <c r="AB22" t="str">
        <f t="shared" ca="1" si="13"/>
        <v/>
      </c>
    </row>
    <row r="23" spans="9:28" x14ac:dyDescent="0.25">
      <c r="L23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3" t="str">
        <f t="shared" ca="1" si="12"/>
        <v/>
      </c>
      <c r="N23" t="str">
        <f t="shared" ca="1" si="12"/>
        <v/>
      </c>
      <c r="O23" t="str">
        <f t="shared" ca="1" si="12"/>
        <v/>
      </c>
      <c r="P23" t="str">
        <f t="shared" ca="1" si="12"/>
        <v/>
      </c>
      <c r="Q23" t="str">
        <f t="shared" ca="1" si="12"/>
        <v/>
      </c>
      <c r="R23" t="str">
        <f t="shared" ca="1" si="12"/>
        <v/>
      </c>
      <c r="S23" t="str">
        <f t="shared" ca="1" si="12"/>
        <v/>
      </c>
      <c r="U23" t="str">
        <f t="shared" ca="1" si="13"/>
        <v/>
      </c>
      <c r="V23" t="str">
        <f t="shared" ca="1" si="13"/>
        <v/>
      </c>
      <c r="W23" t="str">
        <f t="shared" ca="1" si="13"/>
        <v/>
      </c>
      <c r="X23" t="str">
        <f t="shared" ca="1" si="13"/>
        <v/>
      </c>
      <c r="Y23" t="str">
        <f t="shared" ca="1" si="13"/>
        <v/>
      </c>
      <c r="Z23" t="str">
        <f t="shared" ca="1" si="13"/>
        <v/>
      </c>
      <c r="AA23" t="str">
        <f t="shared" ca="1" si="13"/>
        <v/>
      </c>
      <c r="AB23" t="str">
        <f t="shared" ca="1" si="13"/>
        <v/>
      </c>
    </row>
    <row r="24" spans="9:28" x14ac:dyDescent="0.25">
      <c r="I24" s="9" t="e">
        <f>#REF!&amp;#REF!</f>
        <v>#REF!</v>
      </c>
      <c r="J24" s="9" t="e">
        <f>#REF!&amp;#REF!</f>
        <v>#REF!</v>
      </c>
      <c r="L24" t="str">
        <f t="shared" ca="1" si="12"/>
        <v/>
      </c>
      <c r="M24" t="str">
        <f t="shared" ca="1" si="12"/>
        <v/>
      </c>
      <c r="N24" t="str">
        <f t="shared" ca="1" si="12"/>
        <v/>
      </c>
      <c r="O24" t="str">
        <f t="shared" ca="1" si="12"/>
        <v/>
      </c>
      <c r="P24" t="str">
        <f t="shared" ca="1" si="12"/>
        <v/>
      </c>
      <c r="Q24" t="str">
        <f t="shared" ca="1" si="12"/>
        <v/>
      </c>
      <c r="R24" t="str">
        <f t="shared" ca="1" si="12"/>
        <v/>
      </c>
      <c r="S24" t="str">
        <f t="shared" ca="1" si="12"/>
        <v/>
      </c>
      <c r="U24" t="str">
        <f t="shared" ca="1" si="13"/>
        <v/>
      </c>
      <c r="V24" t="str">
        <f t="shared" ca="1" si="13"/>
        <v/>
      </c>
      <c r="W24" t="str">
        <f t="shared" ca="1" si="13"/>
        <v/>
      </c>
      <c r="X24" t="str">
        <f t="shared" ca="1" si="13"/>
        <v/>
      </c>
      <c r="Y24" t="str">
        <f t="shared" ca="1" si="13"/>
        <v/>
      </c>
      <c r="Z24" t="str">
        <f t="shared" ca="1" si="13"/>
        <v/>
      </c>
      <c r="AA24" t="str">
        <f t="shared" ca="1" si="13"/>
        <v/>
      </c>
      <c r="AB24" t="str">
        <f t="shared" ca="1" si="13"/>
        <v/>
      </c>
    </row>
    <row r="25" spans="9:28" x14ac:dyDescent="0.25">
      <c r="I25" s="9" t="e">
        <f>#REF!&amp;#REF!</f>
        <v>#REF!</v>
      </c>
      <c r="J25" s="9" t="e">
        <f>#REF!&amp;#REF!</f>
        <v>#REF!</v>
      </c>
      <c r="L25" t="str">
        <f ca="1">IF(ISNA(INDIRECT(ADDRESS(ROUND(ROW()/2,0)-5,COLUMN()))),"",IF(ISODD(ROW()),"двссыл(адрес("&amp;INDIRECT(ADDRESS(ROUND(ROW()/2,0)-5,COLUMN()))&amp;",6))&amp;"":""&amp;двссыл(адрес("&amp;INDIRECT(ADDRESS(ROUND(ROW()/2,0)-5,COLUMN()))&amp;",7))","ЕСЛИ(длстр(двссыл(адрес(строка()-1, столбец())))=1,"""",двссыл(адрес("&amp;INDIRECT(ADDRESS(ROUND(ROW()/2,0)-5,COLUMN()))&amp;",6))-двссыл(адрес("&amp;INDIRECT(ADDRESS(ROUND(ROW()/2,0)-5,COLUMN()))&amp;",7)))"))</f>
        <v/>
      </c>
      <c r="M25" t="str">
        <f t="shared" ca="1" si="12"/>
        <v/>
      </c>
      <c r="N25" t="str">
        <f t="shared" ca="1" si="12"/>
        <v/>
      </c>
      <c r="O25" t="str">
        <f t="shared" ca="1" si="12"/>
        <v/>
      </c>
      <c r="P25" t="str">
        <f t="shared" ca="1" si="12"/>
        <v/>
      </c>
      <c r="Q25" t="str">
        <f t="shared" ca="1" si="12"/>
        <v/>
      </c>
      <c r="R25" t="str">
        <f t="shared" ca="1" si="12"/>
        <v/>
      </c>
      <c r="S25" t="str">
        <f t="shared" ca="1" si="12"/>
        <v/>
      </c>
      <c r="U25" t="str">
        <f t="shared" ca="1" si="13"/>
        <v/>
      </c>
      <c r="V25" t="str">
        <f t="shared" ca="1" si="13"/>
        <v/>
      </c>
      <c r="W25" t="str">
        <f t="shared" ca="1" si="13"/>
        <v/>
      </c>
      <c r="X25" t="str">
        <f t="shared" ca="1" si="13"/>
        <v/>
      </c>
      <c r="Y25" t="str">
        <f t="shared" ca="1" si="13"/>
        <v/>
      </c>
      <c r="Z25" t="str">
        <f t="shared" ca="1" si="13"/>
        <v/>
      </c>
      <c r="AA25" t="str">
        <f t="shared" ca="1" si="13"/>
        <v/>
      </c>
      <c r="AB25" t="str">
        <f t="shared" ca="1" si="13"/>
        <v/>
      </c>
    </row>
    <row r="26" spans="9:28" x14ac:dyDescent="0.25">
      <c r="I26" s="9" t="e">
        <f>#REF!&amp;#REF!</f>
        <v>#REF!</v>
      </c>
      <c r="J26" s="9" t="e">
        <f>#REF!&amp;#REF!</f>
        <v>#REF!</v>
      </c>
      <c r="L26" t="str">
        <f t="shared" ca="1" si="12"/>
        <v/>
      </c>
      <c r="M26" t="str">
        <f t="shared" ca="1" si="12"/>
        <v/>
      </c>
      <c r="N26" t="str">
        <f t="shared" ca="1" si="12"/>
        <v/>
      </c>
      <c r="O26" t="str">
        <f t="shared" ca="1" si="12"/>
        <v/>
      </c>
      <c r="P26" t="str">
        <f t="shared" ca="1" si="12"/>
        <v/>
      </c>
      <c r="Q26" t="str">
        <f t="shared" ca="1" si="12"/>
        <v/>
      </c>
      <c r="R26" t="str">
        <f t="shared" ca="1" si="12"/>
        <v/>
      </c>
      <c r="S26" t="str">
        <f t="shared" ca="1" si="12"/>
        <v/>
      </c>
      <c r="U26" t="str">
        <f t="shared" ca="1" si="13"/>
        <v/>
      </c>
      <c r="V26" t="str">
        <f t="shared" ca="1" si="13"/>
        <v/>
      </c>
      <c r="W26" t="str">
        <f t="shared" ca="1" si="13"/>
        <v/>
      </c>
      <c r="X26" t="str">
        <f t="shared" ca="1" si="13"/>
        <v/>
      </c>
      <c r="Y26" t="str">
        <f t="shared" ca="1" si="13"/>
        <v/>
      </c>
      <c r="Z26" t="str">
        <f t="shared" ca="1" si="13"/>
        <v/>
      </c>
      <c r="AA26" t="str">
        <f t="shared" ca="1" si="13"/>
        <v/>
      </c>
      <c r="AB26" t="str">
        <f t="shared" ca="1" si="13"/>
        <v/>
      </c>
    </row>
    <row r="27" spans="9:28" x14ac:dyDescent="0.25">
      <c r="I27" s="9" t="e">
        <f>#REF!&amp;#REF!</f>
        <v>#REF!</v>
      </c>
      <c r="J27" s="9" t="e">
        <f>#REF!&amp;#REF!</f>
        <v>#REF!</v>
      </c>
    </row>
    <row r="28" spans="9:28" x14ac:dyDescent="0.25">
      <c r="I28" s="9" t="e">
        <f>#REF!&amp;#REF!</f>
        <v>#REF!</v>
      </c>
      <c r="J28" s="9" t="e">
        <f>#REF!&amp;#REF!</f>
        <v>#REF!</v>
      </c>
      <c r="L28" t="str">
        <f t="shared" ref="L28:L43" ca="1" si="14">"№"&amp;L11&amp;U11</f>
        <v>№</v>
      </c>
      <c r="M28" t="str">
        <f t="shared" ref="M28:M43" ca="1" si="15">"№"&amp;M11&amp;V11</f>
        <v>№</v>
      </c>
      <c r="N28" t="str">
        <f t="shared" ref="N28:N43" ca="1" si="16">"№"&amp;N11&amp;W11</f>
        <v>№</v>
      </c>
      <c r="O28" t="str">
        <f t="shared" ref="O28:O43" ca="1" si="17">"№"&amp;O11&amp;X11</f>
        <v>№</v>
      </c>
      <c r="P28" t="str">
        <f t="shared" ref="P28:P43" ca="1" si="18">"№"&amp;P11&amp;Y11</f>
        <v>№</v>
      </c>
      <c r="Q28" t="str">
        <f t="shared" ref="Q28:Q43" ca="1" si="19">"№"&amp;Q11&amp;Z11</f>
        <v>№</v>
      </c>
      <c r="R28" t="str">
        <f t="shared" ref="R28:R43" ca="1" si="20">"№"&amp;R11&amp;AA11</f>
        <v>№</v>
      </c>
      <c r="S28" t="str">
        <f t="shared" ref="S28:S43" ca="1" si="21">"№"&amp;S11&amp;AB11</f>
        <v>№</v>
      </c>
    </row>
    <row r="29" spans="9:28" x14ac:dyDescent="0.25">
      <c r="L29" t="str">
        <f t="shared" ca="1" si="14"/>
        <v>№</v>
      </c>
      <c r="M29" t="str">
        <f t="shared" ca="1" si="15"/>
        <v>№</v>
      </c>
      <c r="N29" t="str">
        <f t="shared" ca="1" si="16"/>
        <v>№</v>
      </c>
      <c r="O29" t="str">
        <f t="shared" ca="1" si="17"/>
        <v>№</v>
      </c>
      <c r="P29" t="str">
        <f t="shared" ca="1" si="18"/>
        <v>№</v>
      </c>
      <c r="Q29" t="str">
        <f t="shared" ca="1" si="19"/>
        <v>№</v>
      </c>
      <c r="R29" t="str">
        <f t="shared" ca="1" si="20"/>
        <v>№</v>
      </c>
      <c r="S29" t="str">
        <f t="shared" ca="1" si="21"/>
        <v>№</v>
      </c>
    </row>
    <row r="30" spans="9:28" x14ac:dyDescent="0.25">
      <c r="I30" s="9" t="e">
        <f>#REF!&amp;#REF!</f>
        <v>#REF!</v>
      </c>
      <c r="J30" s="9" t="e">
        <f>#REF!&amp;#REF!</f>
        <v>#REF!</v>
      </c>
      <c r="L30" t="str">
        <f t="shared" ca="1" si="14"/>
        <v>№</v>
      </c>
      <c r="M30" t="str">
        <f t="shared" ca="1" si="15"/>
        <v>№</v>
      </c>
      <c r="N30" t="str">
        <f t="shared" ca="1" si="16"/>
        <v>№</v>
      </c>
      <c r="O30" t="str">
        <f t="shared" ca="1" si="17"/>
        <v>№</v>
      </c>
      <c r="P30" t="str">
        <f t="shared" ca="1" si="18"/>
        <v>№</v>
      </c>
      <c r="Q30" t="str">
        <f t="shared" ca="1" si="19"/>
        <v>№</v>
      </c>
      <c r="R30" t="str">
        <f t="shared" ca="1" si="20"/>
        <v>№</v>
      </c>
      <c r="S30" t="str">
        <f t="shared" ca="1" si="21"/>
        <v>№</v>
      </c>
    </row>
    <row r="31" spans="9:28" x14ac:dyDescent="0.25">
      <c r="I31" s="9" t="e">
        <f>#REF!&amp;#REF!</f>
        <v>#REF!</v>
      </c>
      <c r="J31" s="9" t="e">
        <f>#REF!&amp;#REF!</f>
        <v>#REF!</v>
      </c>
      <c r="L31" t="str">
        <f t="shared" ca="1" si="14"/>
        <v>№</v>
      </c>
      <c r="M31" t="str">
        <f t="shared" ca="1" si="15"/>
        <v>№</v>
      </c>
      <c r="N31" t="str">
        <f t="shared" ca="1" si="16"/>
        <v>№</v>
      </c>
      <c r="O31" t="str">
        <f t="shared" ca="1" si="17"/>
        <v>№</v>
      </c>
      <c r="P31" t="str">
        <f t="shared" ca="1" si="18"/>
        <v>№</v>
      </c>
      <c r="Q31" t="str">
        <f t="shared" ca="1" si="19"/>
        <v>№</v>
      </c>
      <c r="R31" t="str">
        <f t="shared" ca="1" si="20"/>
        <v>№</v>
      </c>
      <c r="S31" t="str">
        <f t="shared" ca="1" si="21"/>
        <v>№</v>
      </c>
    </row>
    <row r="32" spans="9:28" x14ac:dyDescent="0.25">
      <c r="I32" s="9" t="e">
        <f>#REF!&amp;#REF!</f>
        <v>#REF!</v>
      </c>
      <c r="J32" s="9" t="e">
        <f>#REF!&amp;#REF!</f>
        <v>#REF!</v>
      </c>
      <c r="L32" t="str">
        <f t="shared" ca="1" si="14"/>
        <v>№</v>
      </c>
      <c r="M32" t="str">
        <f t="shared" ca="1" si="15"/>
        <v>№</v>
      </c>
      <c r="N32" t="str">
        <f t="shared" ca="1" si="16"/>
        <v>№</v>
      </c>
      <c r="O32" t="str">
        <f t="shared" ca="1" si="17"/>
        <v>№</v>
      </c>
      <c r="P32" t="str">
        <f t="shared" ca="1" si="18"/>
        <v>№</v>
      </c>
      <c r="Q32" t="str">
        <f t="shared" ca="1" si="19"/>
        <v>№</v>
      </c>
      <c r="R32" t="str">
        <f t="shared" ca="1" si="20"/>
        <v>№</v>
      </c>
      <c r="S32" t="str">
        <f t="shared" ca="1" si="21"/>
        <v>№</v>
      </c>
    </row>
    <row r="33" spans="9:19" x14ac:dyDescent="0.25">
      <c r="I33" s="9" t="e">
        <f>#REF!&amp;#REF!</f>
        <v>#REF!</v>
      </c>
      <c r="J33" s="9" t="e">
        <f>#REF!&amp;#REF!</f>
        <v>#REF!</v>
      </c>
      <c r="L33" t="str">
        <f t="shared" ca="1" si="14"/>
        <v>№</v>
      </c>
      <c r="M33" t="str">
        <f t="shared" ca="1" si="15"/>
        <v>№</v>
      </c>
      <c r="N33" t="str">
        <f t="shared" ca="1" si="16"/>
        <v>№</v>
      </c>
      <c r="O33" t="str">
        <f t="shared" ca="1" si="17"/>
        <v>№</v>
      </c>
      <c r="P33" t="str">
        <f t="shared" ca="1" si="18"/>
        <v>№</v>
      </c>
      <c r="Q33" t="str">
        <f t="shared" ca="1" si="19"/>
        <v>№</v>
      </c>
      <c r="R33" t="str">
        <f t="shared" ca="1" si="20"/>
        <v>№</v>
      </c>
      <c r="S33" t="str">
        <f t="shared" ca="1" si="21"/>
        <v>№</v>
      </c>
    </row>
    <row r="34" spans="9:19" x14ac:dyDescent="0.25">
      <c r="I34" s="9" t="e">
        <f>#REF!&amp;#REF!</f>
        <v>#REF!</v>
      </c>
      <c r="J34" s="9" t="e">
        <f>#REF!&amp;#REF!</f>
        <v>#REF!</v>
      </c>
      <c r="L34" t="str">
        <f t="shared" ca="1" si="14"/>
        <v>№</v>
      </c>
      <c r="M34" t="str">
        <f t="shared" ca="1" si="15"/>
        <v>№</v>
      </c>
      <c r="N34" t="str">
        <f t="shared" ca="1" si="16"/>
        <v>№</v>
      </c>
      <c r="O34" t="str">
        <f t="shared" ca="1" si="17"/>
        <v>№</v>
      </c>
      <c r="P34" t="str">
        <f t="shared" ca="1" si="18"/>
        <v>№</v>
      </c>
      <c r="Q34" t="str">
        <f t="shared" ca="1" si="19"/>
        <v>№</v>
      </c>
      <c r="R34" t="str">
        <f t="shared" ca="1" si="20"/>
        <v>№</v>
      </c>
      <c r="S34" t="str">
        <f t="shared" ca="1" si="21"/>
        <v>№</v>
      </c>
    </row>
    <row r="35" spans="9:19" x14ac:dyDescent="0.25">
      <c r="L35" t="str">
        <f t="shared" ca="1" si="14"/>
        <v>№</v>
      </c>
      <c r="M35" t="str">
        <f t="shared" ca="1" si="15"/>
        <v>№</v>
      </c>
      <c r="N35" t="str">
        <f t="shared" ca="1" si="16"/>
        <v>№</v>
      </c>
      <c r="O35" t="str">
        <f t="shared" ca="1" si="17"/>
        <v>№</v>
      </c>
      <c r="P35" t="str">
        <f t="shared" ca="1" si="18"/>
        <v>№</v>
      </c>
      <c r="Q35" t="str">
        <f t="shared" ca="1" si="19"/>
        <v>№</v>
      </c>
      <c r="R35" t="str">
        <f t="shared" ca="1" si="20"/>
        <v>№</v>
      </c>
      <c r="S35" t="str">
        <f t="shared" ca="1" si="21"/>
        <v>№</v>
      </c>
    </row>
    <row r="36" spans="9:19" x14ac:dyDescent="0.25">
      <c r="I36" s="9" t="e">
        <f>#REF!&amp;#REF!</f>
        <v>#REF!</v>
      </c>
      <c r="J36" s="9" t="e">
        <f>#REF!&amp;#REF!</f>
        <v>#REF!</v>
      </c>
      <c r="L36" t="str">
        <f t="shared" ca="1" si="14"/>
        <v>№</v>
      </c>
      <c r="M36" t="str">
        <f t="shared" ca="1" si="15"/>
        <v>№</v>
      </c>
      <c r="N36" t="str">
        <f t="shared" ca="1" si="16"/>
        <v>№</v>
      </c>
      <c r="O36" t="str">
        <f t="shared" ca="1" si="17"/>
        <v>№</v>
      </c>
      <c r="P36" t="str">
        <f t="shared" ca="1" si="18"/>
        <v>№</v>
      </c>
      <c r="Q36" t="str">
        <f t="shared" ca="1" si="19"/>
        <v>№</v>
      </c>
      <c r="R36" t="str">
        <f t="shared" ca="1" si="20"/>
        <v>№</v>
      </c>
      <c r="S36" t="str">
        <f t="shared" ca="1" si="21"/>
        <v>№</v>
      </c>
    </row>
    <row r="37" spans="9:19" x14ac:dyDescent="0.25">
      <c r="I37" s="9" t="e">
        <f>#REF!&amp;#REF!</f>
        <v>#REF!</v>
      </c>
      <c r="J37" s="9" t="e">
        <f>#REF!&amp;#REF!</f>
        <v>#REF!</v>
      </c>
      <c r="L37" t="str">
        <f t="shared" ca="1" si="14"/>
        <v>№</v>
      </c>
      <c r="M37" t="str">
        <f t="shared" ca="1" si="15"/>
        <v>№</v>
      </c>
      <c r="N37" t="str">
        <f t="shared" ca="1" si="16"/>
        <v>№</v>
      </c>
      <c r="O37" t="str">
        <f t="shared" ca="1" si="17"/>
        <v>№</v>
      </c>
      <c r="P37" t="str">
        <f t="shared" ca="1" si="18"/>
        <v>№</v>
      </c>
      <c r="Q37" t="str">
        <f t="shared" ca="1" si="19"/>
        <v>№</v>
      </c>
      <c r="R37" t="str">
        <f t="shared" ca="1" si="20"/>
        <v>№</v>
      </c>
      <c r="S37" t="str">
        <f t="shared" ca="1" si="21"/>
        <v>№</v>
      </c>
    </row>
    <row r="38" spans="9:19" x14ac:dyDescent="0.25">
      <c r="I38" s="9" t="e">
        <f>#REF!&amp;#REF!</f>
        <v>#REF!</v>
      </c>
      <c r="J38" s="9" t="e">
        <f>#REF!&amp;#REF!</f>
        <v>#REF!</v>
      </c>
      <c r="L38" t="str">
        <f t="shared" ca="1" si="14"/>
        <v>№</v>
      </c>
      <c r="M38" t="str">
        <f t="shared" ca="1" si="15"/>
        <v>№</v>
      </c>
      <c r="N38" t="str">
        <f t="shared" ca="1" si="16"/>
        <v>№</v>
      </c>
      <c r="O38" t="str">
        <f t="shared" ca="1" si="17"/>
        <v>№</v>
      </c>
      <c r="P38" t="str">
        <f t="shared" ca="1" si="18"/>
        <v>№</v>
      </c>
      <c r="Q38" t="str">
        <f t="shared" ca="1" si="19"/>
        <v>№</v>
      </c>
      <c r="R38" t="str">
        <f t="shared" ca="1" si="20"/>
        <v>№</v>
      </c>
      <c r="S38" t="str">
        <f t="shared" ca="1" si="21"/>
        <v>№</v>
      </c>
    </row>
    <row r="39" spans="9:19" x14ac:dyDescent="0.25">
      <c r="I39" s="9" t="e">
        <f>#REF!&amp;#REF!</f>
        <v>#REF!</v>
      </c>
      <c r="J39" s="9" t="e">
        <f>#REF!&amp;#REF!</f>
        <v>#REF!</v>
      </c>
      <c r="L39" t="str">
        <f t="shared" ca="1" si="14"/>
        <v>№</v>
      </c>
      <c r="M39" t="str">
        <f t="shared" ca="1" si="15"/>
        <v>№</v>
      </c>
      <c r="N39" t="str">
        <f t="shared" ca="1" si="16"/>
        <v>№</v>
      </c>
      <c r="O39" t="str">
        <f t="shared" ca="1" si="17"/>
        <v>№</v>
      </c>
      <c r="P39" t="str">
        <f t="shared" ca="1" si="18"/>
        <v>№</v>
      </c>
      <c r="Q39" t="str">
        <f t="shared" ca="1" si="19"/>
        <v>№</v>
      </c>
      <c r="R39" t="str">
        <f t="shared" ca="1" si="20"/>
        <v>№</v>
      </c>
      <c r="S39" t="str">
        <f t="shared" ca="1" si="21"/>
        <v>№</v>
      </c>
    </row>
    <row r="40" spans="9:19" x14ac:dyDescent="0.25">
      <c r="I40" s="9" t="e">
        <f>#REF!&amp;#REF!</f>
        <v>#REF!</v>
      </c>
      <c r="J40" s="9" t="e">
        <f>#REF!&amp;#REF!</f>
        <v>#REF!</v>
      </c>
      <c r="L40" t="str">
        <f t="shared" ca="1" si="14"/>
        <v>№</v>
      </c>
      <c r="M40" t="str">
        <f t="shared" ca="1" si="15"/>
        <v>№</v>
      </c>
      <c r="N40" t="str">
        <f t="shared" ca="1" si="16"/>
        <v>№</v>
      </c>
      <c r="O40" t="str">
        <f t="shared" ca="1" si="17"/>
        <v>№</v>
      </c>
      <c r="P40" t="str">
        <f t="shared" ca="1" si="18"/>
        <v>№</v>
      </c>
      <c r="Q40" t="str">
        <f t="shared" ca="1" si="19"/>
        <v>№</v>
      </c>
      <c r="R40" t="str">
        <f t="shared" ca="1" si="20"/>
        <v>№</v>
      </c>
      <c r="S40" t="str">
        <f t="shared" ca="1" si="21"/>
        <v>№</v>
      </c>
    </row>
    <row r="41" spans="9:19" x14ac:dyDescent="0.25">
      <c r="L41" t="str">
        <f t="shared" ca="1" si="14"/>
        <v>№</v>
      </c>
      <c r="M41" t="str">
        <f t="shared" ca="1" si="15"/>
        <v>№</v>
      </c>
      <c r="N41" t="str">
        <f t="shared" ca="1" si="16"/>
        <v>№</v>
      </c>
      <c r="O41" t="str">
        <f t="shared" ca="1" si="17"/>
        <v>№</v>
      </c>
      <c r="P41" t="str">
        <f t="shared" ca="1" si="18"/>
        <v>№</v>
      </c>
      <c r="Q41" t="str">
        <f t="shared" ca="1" si="19"/>
        <v>№</v>
      </c>
      <c r="R41" t="str">
        <f t="shared" ca="1" si="20"/>
        <v>№</v>
      </c>
      <c r="S41" t="str">
        <f t="shared" ca="1" si="21"/>
        <v>№</v>
      </c>
    </row>
    <row r="42" spans="9:19" x14ac:dyDescent="0.25">
      <c r="I42" s="9" t="e">
        <f>#REF!&amp;#REF!</f>
        <v>#REF!</v>
      </c>
      <c r="J42" s="9" t="e">
        <f>#REF!&amp;#REF!</f>
        <v>#REF!</v>
      </c>
      <c r="L42" t="str">
        <f t="shared" ca="1" si="14"/>
        <v>№</v>
      </c>
      <c r="M42" t="str">
        <f t="shared" ca="1" si="15"/>
        <v>№</v>
      </c>
      <c r="N42" t="str">
        <f t="shared" ca="1" si="16"/>
        <v>№</v>
      </c>
      <c r="O42" t="str">
        <f t="shared" ca="1" si="17"/>
        <v>№</v>
      </c>
      <c r="P42" t="str">
        <f t="shared" ca="1" si="18"/>
        <v>№</v>
      </c>
      <c r="Q42" t="str">
        <f t="shared" ca="1" si="19"/>
        <v>№</v>
      </c>
      <c r="R42" t="str">
        <f t="shared" ca="1" si="20"/>
        <v>№</v>
      </c>
      <c r="S42" t="str">
        <f t="shared" ca="1" si="21"/>
        <v>№</v>
      </c>
    </row>
    <row r="43" spans="9:19" x14ac:dyDescent="0.25">
      <c r="I43" s="9" t="e">
        <f>#REF!&amp;#REF!</f>
        <v>#REF!</v>
      </c>
      <c r="J43" s="9" t="e">
        <f>#REF!&amp;#REF!</f>
        <v>#REF!</v>
      </c>
      <c r="L43" t="str">
        <f t="shared" ca="1" si="14"/>
        <v>№</v>
      </c>
      <c r="M43" t="str">
        <f t="shared" ca="1" si="15"/>
        <v>№</v>
      </c>
      <c r="N43" t="str">
        <f t="shared" ca="1" si="16"/>
        <v>№</v>
      </c>
      <c r="O43" t="str">
        <f t="shared" ca="1" si="17"/>
        <v>№</v>
      </c>
      <c r="P43" t="str">
        <f t="shared" ca="1" si="18"/>
        <v>№</v>
      </c>
      <c r="Q43" t="str">
        <f t="shared" ca="1" si="19"/>
        <v>№</v>
      </c>
      <c r="R43" t="str">
        <f t="shared" ca="1" si="20"/>
        <v>№</v>
      </c>
      <c r="S43" t="str">
        <f t="shared" ca="1" si="21"/>
        <v>№</v>
      </c>
    </row>
    <row r="44" spans="9:19" x14ac:dyDescent="0.25">
      <c r="I44" s="9" t="e">
        <f>#REF!&amp;#REF!</f>
        <v>#REF!</v>
      </c>
      <c r="J44" s="9" t="e">
        <f>#REF!&amp;#REF!</f>
        <v>#REF!</v>
      </c>
    </row>
    <row r="45" spans="9:19" x14ac:dyDescent="0.25">
      <c r="I45" s="9" t="e">
        <f>#REF!&amp;#REF!</f>
        <v>#REF!</v>
      </c>
      <c r="J45" s="9" t="e">
        <f>#REF!&amp;#REF!</f>
        <v>#REF!</v>
      </c>
    </row>
    <row r="46" spans="9:19" x14ac:dyDescent="0.25">
      <c r="I46" s="9" t="e">
        <f>#REF!&amp;#REF!</f>
        <v>#REF!</v>
      </c>
      <c r="J46" s="9" t="e">
        <f>#REF!&amp;#REF!</f>
        <v>#REF!</v>
      </c>
    </row>
    <row r="48" spans="9:19" x14ac:dyDescent="0.25">
      <c r="I48" s="9" t="e">
        <f>#REF!&amp;#REF!</f>
        <v>#REF!</v>
      </c>
      <c r="J48" s="9" t="e">
        <f>#REF!&amp;#REF!</f>
        <v>#REF!</v>
      </c>
    </row>
    <row r="49" spans="9:10" x14ac:dyDescent="0.25">
      <c r="I49" s="9" t="e">
        <f>#REF!&amp;#REF!</f>
        <v>#REF!</v>
      </c>
      <c r="J49" s="9" t="e">
        <f>#REF!&amp;#REF!</f>
        <v>#REF!</v>
      </c>
    </row>
    <row r="50" spans="9:10" x14ac:dyDescent="0.25">
      <c r="I50" s="9" t="e">
        <f>#REF!&amp;#REF!</f>
        <v>#REF!</v>
      </c>
      <c r="J50" s="9" t="e">
        <f>#REF!&amp;#REF!</f>
        <v>#REF!</v>
      </c>
    </row>
    <row r="51" spans="9:10" x14ac:dyDescent="0.25">
      <c r="I51" s="9" t="e">
        <f>#REF!&amp;#REF!</f>
        <v>#REF!</v>
      </c>
      <c r="J51" s="9" t="e">
        <f>#REF!&amp;#REF!</f>
        <v>#REF!</v>
      </c>
    </row>
    <row r="52" spans="9:10" x14ac:dyDescent="0.25">
      <c r="I52" s="9" t="e">
        <f>#REF!&amp;#REF!</f>
        <v>#REF!</v>
      </c>
      <c r="J52" s="9" t="e">
        <f>#REF!&amp;#REF!</f>
        <v>#REF!</v>
      </c>
    </row>
    <row r="54" spans="9:10" x14ac:dyDescent="0.25">
      <c r="I54" s="9" t="e">
        <f>#REF!&amp;#REF!</f>
        <v>#REF!</v>
      </c>
      <c r="J54" s="9" t="e">
        <f>#REF!&amp;#REF!</f>
        <v>#REF!</v>
      </c>
    </row>
    <row r="55" spans="9:10" x14ac:dyDescent="0.25">
      <c r="I55" s="9" t="e">
        <f>#REF!&amp;#REF!</f>
        <v>#REF!</v>
      </c>
      <c r="J55" s="9" t="e">
        <f>#REF!&amp;#REF!</f>
        <v>#REF!</v>
      </c>
    </row>
    <row r="56" spans="9:10" x14ac:dyDescent="0.25">
      <c r="I56" s="9" t="e">
        <f>#REF!&amp;#REF!</f>
        <v>#REF!</v>
      </c>
      <c r="J56" s="9" t="e">
        <f>#REF!&amp;#REF!</f>
        <v>#REF!</v>
      </c>
    </row>
    <row r="57" spans="9:10" x14ac:dyDescent="0.25">
      <c r="I57" s="9" t="e">
        <f>#REF!&amp;#REF!</f>
        <v>#REF!</v>
      </c>
      <c r="J57" s="9" t="e">
        <f>#REF!&amp;#REF!</f>
        <v>#REF!</v>
      </c>
    </row>
    <row r="58" spans="9:10" x14ac:dyDescent="0.25">
      <c r="I58" s="9" t="e">
        <f>#REF!&amp;#REF!</f>
        <v>#REF!</v>
      </c>
      <c r="J58" s="9" t="e">
        <f>#REF!&amp;#REF!</f>
        <v>#REF!</v>
      </c>
    </row>
    <row r="60" spans="9:10" x14ac:dyDescent="0.25">
      <c r="I60" s="9" t="e">
        <f>#REF!&amp;#REF!</f>
        <v>#REF!</v>
      </c>
      <c r="J60" s="9" t="e">
        <f>#REF!&amp;#REF!</f>
        <v>#REF!</v>
      </c>
    </row>
    <row r="61" spans="9:10" x14ac:dyDescent="0.25">
      <c r="I61" s="9" t="e">
        <f>#REF!&amp;#REF!</f>
        <v>#REF!</v>
      </c>
      <c r="J61" s="9" t="e">
        <f>#REF!&amp;#REF!</f>
        <v>#REF!</v>
      </c>
    </row>
    <row r="62" spans="9:10" x14ac:dyDescent="0.25">
      <c r="I62" s="9" t="e">
        <f>#REF!&amp;#REF!</f>
        <v>#REF!</v>
      </c>
      <c r="J62" s="9" t="e">
        <f>#REF!&amp;#REF!</f>
        <v>#REF!</v>
      </c>
    </row>
    <row r="63" spans="9:10" x14ac:dyDescent="0.25">
      <c r="I63" s="9" t="e">
        <f>#REF!&amp;#REF!</f>
        <v>#REF!</v>
      </c>
      <c r="J63" s="9" t="e">
        <f>#REF!&amp;#REF!</f>
        <v>#REF!</v>
      </c>
    </row>
    <row r="67" spans="12:12" x14ac:dyDescent="0.25">
      <c r="L67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C4" sqref="C4:E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57" customWidth="1"/>
    <col min="14" max="15" width="10.28515625" customWidth="1"/>
  </cols>
  <sheetData>
    <row r="1" spans="2:13" ht="36" customHeight="1" x14ac:dyDescent="0.25">
      <c r="B1" s="127" t="s">
        <v>59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30</v>
      </c>
      <c r="M1" s="31">
        <v>46031</v>
      </c>
    </row>
    <row r="2" spans="2:13" ht="15.75" thickBot="1" x14ac:dyDescent="0.3">
      <c r="M2"/>
    </row>
    <row r="3" spans="2:13" ht="30" customHeight="1" thickBot="1" x14ac:dyDescent="0.3">
      <c r="B3" s="52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52" t="s">
        <v>1</v>
      </c>
      <c r="L3" s="1" t="s">
        <v>3</v>
      </c>
      <c r="M3" s="21" t="s">
        <v>2</v>
      </c>
    </row>
    <row r="4" spans="2:13" ht="24" customHeight="1" x14ac:dyDescent="0.25">
      <c r="B4" s="131">
        <v>1</v>
      </c>
      <c r="C4" s="157" t="s">
        <v>22</v>
      </c>
      <c r="D4" s="158"/>
      <c r="E4" s="159"/>
      <c r="F4" s="10" t="s">
        <v>24</v>
      </c>
      <c r="G4" s="6" t="str">
        <f ca="1">INDIRECT(ADDRESS(23,6))&amp;":"&amp;INDIRECT(ADDRESS(23,7))</f>
        <v>11:13</v>
      </c>
      <c r="H4" s="6" t="str">
        <f ca="1">INDIRECT(ADDRESS(26,7))&amp;":"&amp;INDIRECT(ADDRESS(26,6))</f>
        <v>2:13</v>
      </c>
      <c r="I4" s="6" t="str">
        <f ca="1">INDIRECT(ADDRESS(30,6))&amp;":"&amp;INDIRECT(ADDRESS(30,7))</f>
        <v>13:2</v>
      </c>
      <c r="J4" s="20" t="str">
        <f ca="1">INDIRECT(ADDRESS(35,7))&amp;":"&amp;INDIRECT(ADDRESS(35,6))</f>
        <v>10:13</v>
      </c>
      <c r="K4" s="150">
        <f ca="1">IF(COUNT(F5:J5)=0,"",COUNTIF(F5:J5,"&gt;0")+0.5*COUNTIF(F5:J5,0))</f>
        <v>1</v>
      </c>
      <c r="L4" s="23">
        <v>8</v>
      </c>
      <c r="M4" s="148">
        <v>3</v>
      </c>
    </row>
    <row r="5" spans="2:13" ht="24" customHeight="1" x14ac:dyDescent="0.25">
      <c r="B5" s="132"/>
      <c r="C5" s="152"/>
      <c r="D5" s="153"/>
      <c r="E5" s="154"/>
      <c r="F5" s="13" t="s">
        <v>24</v>
      </c>
      <c r="G5" s="16">
        <f ca="1">IF(LEN(INDIRECT(ADDRESS(ROW()-1, COLUMN())))=1,"",INDIRECT(ADDRESS(23,6))-INDIRECT(ADDRESS(23,7)))</f>
        <v>-2</v>
      </c>
      <c r="H5" s="16">
        <f ca="1">IF(LEN(INDIRECT(ADDRESS(ROW()-1, COLUMN())))=1,"",INDIRECT(ADDRESS(26,7))-INDIRECT(ADDRESS(26,6)))</f>
        <v>-11</v>
      </c>
      <c r="I5" s="16">
        <f ca="1">IF(LEN(INDIRECT(ADDRESS(ROW()-1, COLUMN())))=1,"",INDIRECT(ADDRESS(30,6))-INDIRECT(ADDRESS(30,7)))</f>
        <v>11</v>
      </c>
      <c r="J5" s="17">
        <f ca="1">IF(LEN(INDIRECT(ADDRESS(ROW()-1, COLUMN())))=1,"",INDIRECT(ADDRESS(35,7))-INDIRECT(ADDRESS(35,6)))</f>
        <v>-3</v>
      </c>
      <c r="K5" s="151"/>
      <c r="L5" s="16">
        <f ca="1">IF(COUNT(F5:J5)=0,"",SUM(F5:J5))</f>
        <v>-5</v>
      </c>
      <c r="M5" s="149"/>
    </row>
    <row r="6" spans="2:13" ht="24" customHeight="1" x14ac:dyDescent="0.25">
      <c r="B6" s="139">
        <v>2</v>
      </c>
      <c r="C6" s="136" t="s">
        <v>60</v>
      </c>
      <c r="D6" s="137"/>
      <c r="E6" s="138"/>
      <c r="F6" s="12" t="str">
        <f ca="1">INDIRECT(ADDRESS(23,7))&amp;":"&amp;INDIRECT(ADDRESS(23,6))</f>
        <v>13:11</v>
      </c>
      <c r="G6" s="8" t="s">
        <v>24</v>
      </c>
      <c r="H6" s="7" t="str">
        <f ca="1">INDIRECT(ADDRESS(31,6))&amp;":"&amp;INDIRECT(ADDRESS(31,7))</f>
        <v>13:11</v>
      </c>
      <c r="I6" s="7" t="str">
        <f ca="1">INDIRECT(ADDRESS(34,7))&amp;":"&amp;INDIRECT(ADDRESS(34,6))</f>
        <v>13:10</v>
      </c>
      <c r="J6" s="11" t="str">
        <f ca="1">INDIRECT(ADDRESS(18,6))&amp;":"&amp;INDIRECT(ADDRESS(18,7))</f>
        <v>13:11</v>
      </c>
      <c r="K6" s="151">
        <f ca="1">IF(COUNT(F7:J7)=0,"",COUNTIF(F7:J7,"&gt;0")+0.5*COUNTIF(F7:J7,0))</f>
        <v>4</v>
      </c>
      <c r="L6" s="16"/>
      <c r="M6" s="149">
        <v>1</v>
      </c>
    </row>
    <row r="7" spans="2:13" ht="24" customHeight="1" x14ac:dyDescent="0.25">
      <c r="B7" s="132"/>
      <c r="C7" s="136"/>
      <c r="D7" s="137"/>
      <c r="E7" s="138"/>
      <c r="F7" s="22">
        <f ca="1">IF(LEN(INDIRECT(ADDRESS(ROW()-1, COLUMN())))=1,"",INDIRECT(ADDRESS(23,7))-INDIRECT(ADDRESS(23,6)))</f>
        <v>2</v>
      </c>
      <c r="G7" s="14" t="s">
        <v>24</v>
      </c>
      <c r="H7" s="16">
        <f ca="1">IF(LEN(INDIRECT(ADDRESS(ROW()-1, COLUMN())))=1,"",INDIRECT(ADDRESS(31,6))-INDIRECT(ADDRESS(31,7)))</f>
        <v>2</v>
      </c>
      <c r="I7" s="16">
        <f ca="1">IF(LEN(INDIRECT(ADDRESS(ROW()-1, COLUMN())))=1,"",INDIRECT(ADDRESS(34,7))-INDIRECT(ADDRESS(34,6)))</f>
        <v>3</v>
      </c>
      <c r="J7" s="17">
        <f ca="1">IF(LEN(INDIRECT(ADDRESS(ROW()-1, COLUMN())))=1,"",INDIRECT(ADDRESS(18,6))-INDIRECT(ADDRESS(18,7)))</f>
        <v>2</v>
      </c>
      <c r="K7" s="151"/>
      <c r="L7" s="16">
        <f ca="1">IF(COUNT(F7:J7)=0,"",SUM(F7:J7))</f>
        <v>9</v>
      </c>
      <c r="M7" s="149"/>
    </row>
    <row r="8" spans="2:13" ht="24" customHeight="1" x14ac:dyDescent="0.25">
      <c r="B8" s="139">
        <v>3</v>
      </c>
      <c r="C8" s="136" t="s">
        <v>61</v>
      </c>
      <c r="D8" s="137"/>
      <c r="E8" s="138"/>
      <c r="F8" s="12" t="str">
        <f ca="1">INDIRECT(ADDRESS(26,6))&amp;":"&amp;INDIRECT(ADDRESS(26,7))</f>
        <v>13:2</v>
      </c>
      <c r="G8" s="7" t="str">
        <f ca="1">INDIRECT(ADDRESS(31,7))&amp;":"&amp;INDIRECT(ADDRESS(31,6))</f>
        <v>11:13</v>
      </c>
      <c r="H8" s="8" t="s">
        <v>24</v>
      </c>
      <c r="I8" s="7" t="str">
        <f ca="1">INDIRECT(ADDRESS(19,6))&amp;":"&amp;INDIRECT(ADDRESS(19,7))</f>
        <v>13:11</v>
      </c>
      <c r="J8" s="11" t="str">
        <f ca="1">INDIRECT(ADDRESS(22,7))&amp;":"&amp;INDIRECT(ADDRESS(22,6))</f>
        <v>13:6</v>
      </c>
      <c r="K8" s="151">
        <f ca="1">IF(COUNT(F9:J9)=0,"",COUNTIF(F9:J9,"&gt;0")+0.5*COUNTIF(F9:J9,0))</f>
        <v>3</v>
      </c>
      <c r="L8" s="16"/>
      <c r="M8" s="149">
        <v>2</v>
      </c>
    </row>
    <row r="9" spans="2:13" ht="24" customHeight="1" x14ac:dyDescent="0.25">
      <c r="B9" s="132"/>
      <c r="C9" s="136"/>
      <c r="D9" s="137"/>
      <c r="E9" s="138"/>
      <c r="F9" s="22">
        <f ca="1">IF(LEN(INDIRECT(ADDRESS(ROW()-1, COLUMN())))=1,"",INDIRECT(ADDRESS(26,6))-INDIRECT(ADDRESS(26,7)))</f>
        <v>11</v>
      </c>
      <c r="G9" s="16">
        <f ca="1">IF(LEN(INDIRECT(ADDRESS(ROW()-1, COLUMN())))=1,"",INDIRECT(ADDRESS(31,7))-INDIRECT(ADDRESS(31,6)))</f>
        <v>-2</v>
      </c>
      <c r="H9" s="14" t="s">
        <v>24</v>
      </c>
      <c r="I9" s="16">
        <f ca="1">IF(LEN(INDIRECT(ADDRESS(ROW()-1, COLUMN())))=1,"",INDIRECT(ADDRESS(19,6))-INDIRECT(ADDRESS(19,7)))</f>
        <v>2</v>
      </c>
      <c r="J9" s="17">
        <f ca="1">IF(LEN(INDIRECT(ADDRESS(ROW()-1, COLUMN())))=1,"",INDIRECT(ADDRESS(22,7))-INDIRECT(ADDRESS(22,6)))</f>
        <v>7</v>
      </c>
      <c r="K9" s="151"/>
      <c r="L9" s="16">
        <f ca="1">IF(COUNT(F9:J9)=0,"",SUM(F9:J9))</f>
        <v>18</v>
      </c>
      <c r="M9" s="149"/>
    </row>
    <row r="10" spans="2:13" ht="24" customHeight="1" x14ac:dyDescent="0.25">
      <c r="B10" s="139">
        <v>4</v>
      </c>
      <c r="C10" s="140" t="s">
        <v>64</v>
      </c>
      <c r="D10" s="141"/>
      <c r="E10" s="142"/>
      <c r="F10" s="12" t="str">
        <f ca="1">INDIRECT(ADDRESS(30,7))&amp;":"&amp;INDIRECT(ADDRESS(30,6))</f>
        <v>2:13</v>
      </c>
      <c r="G10" s="7" t="str">
        <f ca="1">INDIRECT(ADDRESS(34,6))&amp;":"&amp;INDIRECT(ADDRESS(34,7))</f>
        <v>10:13</v>
      </c>
      <c r="H10" s="7" t="str">
        <f ca="1">INDIRECT(ADDRESS(19,7))&amp;":"&amp;INDIRECT(ADDRESS(19,6))</f>
        <v>11:13</v>
      </c>
      <c r="I10" s="8" t="s">
        <v>24</v>
      </c>
      <c r="J10" s="11" t="str">
        <f ca="1">INDIRECT(ADDRESS(27,6))&amp;":"&amp;INDIRECT(ADDRESS(27,7))</f>
        <v>13:8</v>
      </c>
      <c r="K10" s="151">
        <f ca="1">IF(COUNT(F11:J11)=0,"",COUNTIF(F11:J11,"&gt;0")+0.5*COUNTIF(F11:J11,0))</f>
        <v>1</v>
      </c>
      <c r="L10" s="16">
        <v>-6</v>
      </c>
      <c r="M10" s="149">
        <v>5</v>
      </c>
    </row>
    <row r="11" spans="2:13" ht="24" customHeight="1" x14ac:dyDescent="0.25">
      <c r="B11" s="132"/>
      <c r="C11" s="140"/>
      <c r="D11" s="141"/>
      <c r="E11" s="142"/>
      <c r="F11" s="22">
        <f ca="1">IF(LEN(INDIRECT(ADDRESS(ROW()-1, COLUMN())))=1,"",INDIRECT(ADDRESS(30,7))-INDIRECT(ADDRESS(30,6)))</f>
        <v>-11</v>
      </c>
      <c r="G11" s="16">
        <f ca="1">IF(LEN(INDIRECT(ADDRESS(ROW()-1, COLUMN())))=1,"",INDIRECT(ADDRESS(34,6))-INDIRECT(ADDRESS(34,7)))</f>
        <v>-3</v>
      </c>
      <c r="H11" s="16">
        <f ca="1">IF(LEN(INDIRECT(ADDRESS(ROW()-1, COLUMN())))=1,"",INDIRECT(ADDRESS(19,7))-INDIRECT(ADDRESS(19,6)))</f>
        <v>-2</v>
      </c>
      <c r="I11" s="14" t="s">
        <v>24</v>
      </c>
      <c r="J11" s="17">
        <f ca="1">IF(LEN(INDIRECT(ADDRESS(ROW()-1, COLUMN())))=1,"",INDIRECT(ADDRESS(27,6))-INDIRECT(ADDRESS(27,7)))</f>
        <v>5</v>
      </c>
      <c r="K11" s="151"/>
      <c r="L11" s="16">
        <f ca="1">IF(COUNT(F11:J11)=0,"",SUM(F11:J11))</f>
        <v>-11</v>
      </c>
      <c r="M11" s="149"/>
    </row>
    <row r="12" spans="2:13" ht="24" customHeight="1" x14ac:dyDescent="0.25">
      <c r="B12" s="139">
        <v>5</v>
      </c>
      <c r="C12" s="140" t="s">
        <v>14</v>
      </c>
      <c r="D12" s="141"/>
      <c r="E12" s="142"/>
      <c r="F12" s="12" t="str">
        <f ca="1">INDIRECT(ADDRESS(35,6))&amp;":"&amp;INDIRECT(ADDRESS(35,7))</f>
        <v>13:10</v>
      </c>
      <c r="G12" s="7" t="str">
        <f ca="1">INDIRECT(ADDRESS(18,7))&amp;":"&amp;INDIRECT(ADDRESS(18,6))</f>
        <v>11:13</v>
      </c>
      <c r="H12" s="7" t="str">
        <f ca="1">INDIRECT(ADDRESS(22,6))&amp;":"&amp;INDIRECT(ADDRESS(22,7))</f>
        <v>6:13</v>
      </c>
      <c r="I12" s="7" t="str">
        <f ca="1">INDIRECT(ADDRESS(27,7))&amp;":"&amp;INDIRECT(ADDRESS(27,6))</f>
        <v>8:13</v>
      </c>
      <c r="J12" s="34" t="s">
        <v>24</v>
      </c>
      <c r="K12" s="151">
        <f ca="1">IF(COUNT(F13:J13)=0,"",COUNTIF(F13:J13,"&gt;0")+0.5*COUNTIF(F13:J13,0))</f>
        <v>1</v>
      </c>
      <c r="L12" s="16">
        <v>-2</v>
      </c>
      <c r="M12" s="149">
        <v>4</v>
      </c>
    </row>
    <row r="13" spans="2:13" ht="24" customHeight="1" thickBot="1" x14ac:dyDescent="0.3">
      <c r="B13" s="143"/>
      <c r="C13" s="144"/>
      <c r="D13" s="145"/>
      <c r="E13" s="146"/>
      <c r="F13" s="19">
        <f ca="1">IF(LEN(INDIRECT(ADDRESS(ROW()-1, COLUMN())))=1,"",INDIRECT(ADDRESS(35,6))-INDIRECT(ADDRESS(35,7)))</f>
        <v>3</v>
      </c>
      <c r="G13" s="18">
        <f ca="1">IF(LEN(INDIRECT(ADDRESS(ROW()-1, COLUMN())))=1,"",INDIRECT(ADDRESS(18,7))-INDIRECT(ADDRESS(18,6)))</f>
        <v>-2</v>
      </c>
      <c r="H13" s="18">
        <f ca="1">IF(LEN(INDIRECT(ADDRESS(ROW()-1, COLUMN())))=1,"",INDIRECT(ADDRESS(22,6))-INDIRECT(ADDRESS(22,7)))</f>
        <v>-7</v>
      </c>
      <c r="I13" s="18">
        <f ca="1">IF(LEN(INDIRECT(ADDRESS(ROW()-1, COLUMN())))=1,"",INDIRECT(ADDRESS(27,7))-INDIRECT(ADDRESS(27,6)))</f>
        <v>-5</v>
      </c>
      <c r="J13" s="15" t="s">
        <v>24</v>
      </c>
      <c r="K13" s="156"/>
      <c r="L13" s="18">
        <f ca="1">IF(COUNT(F13:J13)=0,"",SUM(F13:J13))</f>
        <v>-11</v>
      </c>
      <c r="M13" s="155"/>
    </row>
    <row r="14" spans="2:13" x14ac:dyDescent="0.25">
      <c r="M14"/>
    </row>
    <row r="15" spans="2:13" x14ac:dyDescent="0.25">
      <c r="M15"/>
    </row>
    <row r="16" spans="2:13" x14ac:dyDescent="0.25">
      <c r="M16"/>
    </row>
    <row r="17" spans="1:13" s="36" customFormat="1" ht="30" customHeight="1" thickBot="1" x14ac:dyDescent="0.4">
      <c r="A17" s="35"/>
      <c r="B17" s="147" t="s">
        <v>4</v>
      </c>
      <c r="C17" s="147"/>
      <c r="D17" s="147"/>
      <c r="E17" s="147"/>
      <c r="F17" s="147"/>
      <c r="G17" s="147"/>
      <c r="H17" s="147"/>
      <c r="I17" s="147"/>
      <c r="J17" s="147"/>
      <c r="K17" s="147"/>
      <c r="M17" s="56"/>
    </row>
    <row r="18" spans="1:13" s="36" customFormat="1" ht="30" customHeight="1" thickBot="1" x14ac:dyDescent="0.4">
      <c r="A18" s="35"/>
      <c r="B18" s="37">
        <v>2</v>
      </c>
      <c r="C18" s="124" t="str">
        <f ca="1">IF(ISBLANK(INDIRECT(ADDRESS(B18*2+2,3))),"",INDIRECT(ADDRESS(B18*2+2,3)))</f>
        <v>Капов Иван</v>
      </c>
      <c r="D18" s="124"/>
      <c r="E18" s="125"/>
      <c r="F18" s="38">
        <v>13</v>
      </c>
      <c r="G18" s="39">
        <v>11</v>
      </c>
      <c r="H18" s="126" t="str">
        <f ca="1">IF(ISBLANK(INDIRECT(ADDRESS(K18*2+2,3))),"",INDIRECT(ADDRESS(K18*2+2,3)))</f>
        <v>Горбунов Алексей</v>
      </c>
      <c r="I18" s="124"/>
      <c r="J18" s="124"/>
      <c r="K18" s="37">
        <v>5</v>
      </c>
      <c r="L18" s="40" t="s">
        <v>10</v>
      </c>
      <c r="M18" s="53"/>
    </row>
    <row r="19" spans="1:13" s="36" customFormat="1" ht="30" customHeight="1" thickBot="1" x14ac:dyDescent="0.4">
      <c r="A19" s="35"/>
      <c r="B19" s="37">
        <v>3</v>
      </c>
      <c r="C19" s="124" t="str">
        <f ca="1">IF(ISBLANK(INDIRECT(ADDRESS(B19*2+2,3))),"",INDIRECT(ADDRESS(B19*2+2,3)))</f>
        <v>Зинкеев Георгий</v>
      </c>
      <c r="D19" s="124"/>
      <c r="E19" s="125"/>
      <c r="F19" s="38">
        <v>13</v>
      </c>
      <c r="G19" s="39">
        <v>11</v>
      </c>
      <c r="H19" s="126" t="str">
        <f ca="1">IF(ISBLANK(INDIRECT(ADDRESS(K19*2+2,3))),"",INDIRECT(ADDRESS(K19*2+2,3)))</f>
        <v>Пелевин Алексей</v>
      </c>
      <c r="I19" s="124"/>
      <c r="J19" s="124"/>
      <c r="K19" s="37">
        <v>4</v>
      </c>
      <c r="L19" s="40" t="s">
        <v>10</v>
      </c>
      <c r="M19" s="53"/>
    </row>
    <row r="20" spans="1:13" s="36" customFormat="1" ht="30" customHeight="1" x14ac:dyDescent="0.35">
      <c r="A20" s="35"/>
      <c r="M20" s="41"/>
    </row>
    <row r="21" spans="1:13" s="36" customFormat="1" ht="30" customHeight="1" thickBot="1" x14ac:dyDescent="0.4">
      <c r="A21" s="35"/>
      <c r="B21" s="147" t="s">
        <v>5</v>
      </c>
      <c r="C21" s="147"/>
      <c r="D21" s="147"/>
      <c r="E21" s="147"/>
      <c r="F21" s="147"/>
      <c r="G21" s="147"/>
      <c r="H21" s="147"/>
      <c r="I21" s="147"/>
      <c r="J21" s="147"/>
      <c r="K21" s="147"/>
      <c r="M21" s="41"/>
    </row>
    <row r="22" spans="1:13" s="36" customFormat="1" ht="30" customHeight="1" thickBot="1" x14ac:dyDescent="0.4">
      <c r="A22" s="35"/>
      <c r="B22" s="37">
        <v>5</v>
      </c>
      <c r="C22" s="124" t="str">
        <f ca="1">IF(ISBLANK(INDIRECT(ADDRESS(B22*2+2,3))),"",INDIRECT(ADDRESS(B22*2+2,3)))</f>
        <v>Горбунов Алексей</v>
      </c>
      <c r="D22" s="124"/>
      <c r="E22" s="125"/>
      <c r="F22" s="38">
        <v>6</v>
      </c>
      <c r="G22" s="39">
        <v>13</v>
      </c>
      <c r="H22" s="126" t="str">
        <f ca="1">IF(ISBLANK(INDIRECT(ADDRESS(K22*2+2,3))),"",INDIRECT(ADDRESS(K22*2+2,3)))</f>
        <v>Зинкеев Георгий</v>
      </c>
      <c r="I22" s="124"/>
      <c r="J22" s="124"/>
      <c r="K22" s="37">
        <v>3</v>
      </c>
      <c r="L22" s="40" t="s">
        <v>10</v>
      </c>
      <c r="M22" s="53"/>
    </row>
    <row r="23" spans="1:13" s="36" customFormat="1" ht="30" customHeight="1" thickBot="1" x14ac:dyDescent="0.4">
      <c r="A23" s="35"/>
      <c r="B23" s="37">
        <v>1</v>
      </c>
      <c r="C23" s="124" t="str">
        <f ca="1">IF(ISBLANK(INDIRECT(ADDRESS(B23*2+2,3))),"",INDIRECT(ADDRESS(B23*2+2,3)))</f>
        <v>Зимин Михаил</v>
      </c>
      <c r="D23" s="124"/>
      <c r="E23" s="125"/>
      <c r="F23" s="38">
        <v>11</v>
      </c>
      <c r="G23" s="39">
        <v>13</v>
      </c>
      <c r="H23" s="126" t="str">
        <f ca="1">IF(ISBLANK(INDIRECT(ADDRESS(K23*2+2,3))),"",INDIRECT(ADDRESS(K23*2+2,3)))</f>
        <v>Капов Иван</v>
      </c>
      <c r="I23" s="124"/>
      <c r="J23" s="124"/>
      <c r="K23" s="37">
        <v>2</v>
      </c>
      <c r="L23" s="40" t="s">
        <v>10</v>
      </c>
      <c r="M23" s="53"/>
    </row>
    <row r="24" spans="1:13" s="36" customFormat="1" ht="30" customHeight="1" x14ac:dyDescent="0.35">
      <c r="A24" s="35"/>
      <c r="M24" s="41"/>
    </row>
    <row r="25" spans="1:13" s="36" customFormat="1" ht="30" customHeight="1" thickBot="1" x14ac:dyDescent="0.4">
      <c r="A25" s="35"/>
      <c r="B25" s="147" t="s">
        <v>6</v>
      </c>
      <c r="C25" s="147"/>
      <c r="D25" s="147"/>
      <c r="E25" s="147"/>
      <c r="F25" s="147"/>
      <c r="G25" s="147"/>
      <c r="H25" s="147"/>
      <c r="I25" s="147"/>
      <c r="J25" s="147"/>
      <c r="K25" s="147"/>
      <c r="M25" s="41"/>
    </row>
    <row r="26" spans="1:13" s="36" customFormat="1" ht="30" customHeight="1" thickBot="1" x14ac:dyDescent="0.4">
      <c r="A26" s="35"/>
      <c r="B26" s="37">
        <v>3</v>
      </c>
      <c r="C26" s="124" t="str">
        <f ca="1">IF(ISBLANK(INDIRECT(ADDRESS(B26*2+2,3))),"",INDIRECT(ADDRESS(B26*2+2,3)))</f>
        <v>Зинкеев Георгий</v>
      </c>
      <c r="D26" s="124"/>
      <c r="E26" s="125"/>
      <c r="F26" s="38">
        <v>13</v>
      </c>
      <c r="G26" s="39">
        <v>2</v>
      </c>
      <c r="H26" s="126" t="str">
        <f ca="1">IF(ISBLANK(INDIRECT(ADDRESS(K26*2+2,3))),"",INDIRECT(ADDRESS(K26*2+2,3)))</f>
        <v>Зимин Михаил</v>
      </c>
      <c r="I26" s="124"/>
      <c r="J26" s="124"/>
      <c r="K26" s="37">
        <v>1</v>
      </c>
      <c r="L26" s="40" t="s">
        <v>10</v>
      </c>
      <c r="M26" s="53"/>
    </row>
    <row r="27" spans="1:13" s="36" customFormat="1" ht="30" customHeight="1" thickBot="1" x14ac:dyDescent="0.4">
      <c r="A27" s="35"/>
      <c r="B27" s="37">
        <v>4</v>
      </c>
      <c r="C27" s="124" t="str">
        <f ca="1">IF(ISBLANK(INDIRECT(ADDRESS(B27*2+2,3))),"",INDIRECT(ADDRESS(B27*2+2,3)))</f>
        <v>Пелевин Алексей</v>
      </c>
      <c r="D27" s="124"/>
      <c r="E27" s="125"/>
      <c r="F27" s="38">
        <v>13</v>
      </c>
      <c r="G27" s="39">
        <v>8</v>
      </c>
      <c r="H27" s="126" t="str">
        <f ca="1">IF(ISBLANK(INDIRECT(ADDRESS(K27*2+2,3))),"",INDIRECT(ADDRESS(K27*2+2,3)))</f>
        <v>Горбунов Алексей</v>
      </c>
      <c r="I27" s="124"/>
      <c r="J27" s="124"/>
      <c r="K27" s="37">
        <v>5</v>
      </c>
      <c r="L27" s="40" t="s">
        <v>10</v>
      </c>
      <c r="M27" s="53"/>
    </row>
    <row r="28" spans="1:13" s="36" customFormat="1" ht="30" customHeight="1" x14ac:dyDescent="0.35">
      <c r="A28" s="35"/>
      <c r="M28" s="41"/>
    </row>
    <row r="29" spans="1:13" s="36" customFormat="1" ht="30" customHeight="1" thickBot="1" x14ac:dyDescent="0.4">
      <c r="A29" s="35"/>
      <c r="B29" s="147" t="s">
        <v>7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s="36" customFormat="1" ht="30" customHeight="1" thickBot="1" x14ac:dyDescent="0.4">
      <c r="A30" s="35"/>
      <c r="B30" s="37">
        <v>1</v>
      </c>
      <c r="C30" s="124" t="str">
        <f ca="1">IF(ISBLANK(INDIRECT(ADDRESS(B30*2+2,3))),"",INDIRECT(ADDRESS(B30*2+2,3)))</f>
        <v>Зимин Михаил</v>
      </c>
      <c r="D30" s="124"/>
      <c r="E30" s="125"/>
      <c r="F30" s="38">
        <v>13</v>
      </c>
      <c r="G30" s="39">
        <v>2</v>
      </c>
      <c r="H30" s="126" t="str">
        <f ca="1">IF(ISBLANK(INDIRECT(ADDRESS(K30*2+2,3))),"",INDIRECT(ADDRESS(K30*2+2,3)))</f>
        <v>Пелевин Алексей</v>
      </c>
      <c r="I30" s="124"/>
      <c r="J30" s="124"/>
      <c r="K30" s="37">
        <v>4</v>
      </c>
      <c r="L30" s="40" t="s">
        <v>10</v>
      </c>
      <c r="M30" s="53"/>
    </row>
    <row r="31" spans="1:13" s="36" customFormat="1" ht="30" customHeight="1" thickBot="1" x14ac:dyDescent="0.4">
      <c r="A31" s="35"/>
      <c r="B31" s="37">
        <v>2</v>
      </c>
      <c r="C31" s="124" t="str">
        <f ca="1">IF(ISBLANK(INDIRECT(ADDRESS(B31*2+2,3))),"",INDIRECT(ADDRESS(B31*2+2,3)))</f>
        <v>Капов Иван</v>
      </c>
      <c r="D31" s="124"/>
      <c r="E31" s="125"/>
      <c r="F31" s="38">
        <v>13</v>
      </c>
      <c r="G31" s="39">
        <v>11</v>
      </c>
      <c r="H31" s="126" t="str">
        <f ca="1">IF(ISBLANK(INDIRECT(ADDRESS(K31*2+2,3))),"",INDIRECT(ADDRESS(K31*2+2,3)))</f>
        <v>Зинкеев Георгий</v>
      </c>
      <c r="I31" s="124"/>
      <c r="J31" s="124"/>
      <c r="K31" s="37">
        <v>3</v>
      </c>
      <c r="L31" s="40" t="s">
        <v>10</v>
      </c>
      <c r="M31" s="53"/>
    </row>
    <row r="32" spans="1:13" s="36" customFormat="1" ht="30" customHeight="1" x14ac:dyDescent="0.35">
      <c r="A32" s="35"/>
      <c r="M32" s="41"/>
    </row>
    <row r="33" spans="1:13" s="36" customFormat="1" ht="30" customHeight="1" thickBot="1" x14ac:dyDescent="0.4">
      <c r="A33" s="35"/>
      <c r="B33" s="147" t="s">
        <v>8</v>
      </c>
      <c r="C33" s="147"/>
      <c r="D33" s="147"/>
      <c r="E33" s="147"/>
      <c r="F33" s="147"/>
      <c r="G33" s="147"/>
      <c r="H33" s="147"/>
      <c r="I33" s="147"/>
      <c r="J33" s="147"/>
      <c r="K33" s="147"/>
      <c r="M33" s="41"/>
    </row>
    <row r="34" spans="1:13" s="36" customFormat="1" ht="30" customHeight="1" thickBot="1" x14ac:dyDescent="0.4">
      <c r="A34" s="35"/>
      <c r="B34" s="37">
        <v>4</v>
      </c>
      <c r="C34" s="124" t="str">
        <f ca="1">IF(ISBLANK(INDIRECT(ADDRESS(B34*2+2,3))),"",INDIRECT(ADDRESS(B34*2+2,3)))</f>
        <v>Пелевин Алексей</v>
      </c>
      <c r="D34" s="124"/>
      <c r="E34" s="125"/>
      <c r="F34" s="38">
        <v>10</v>
      </c>
      <c r="G34" s="39">
        <v>13</v>
      </c>
      <c r="H34" s="126" t="str">
        <f ca="1">IF(ISBLANK(INDIRECT(ADDRESS(K34*2+2,3))),"",INDIRECT(ADDRESS(K34*2+2,3)))</f>
        <v>Капов Иван</v>
      </c>
      <c r="I34" s="124"/>
      <c r="J34" s="124"/>
      <c r="K34" s="37">
        <v>2</v>
      </c>
      <c r="L34" s="40" t="s">
        <v>10</v>
      </c>
      <c r="M34" s="53"/>
    </row>
    <row r="35" spans="1:13" s="36" customFormat="1" ht="30" customHeight="1" thickBot="1" x14ac:dyDescent="0.4">
      <c r="A35" s="35"/>
      <c r="B35" s="37">
        <v>5</v>
      </c>
      <c r="C35" s="124" t="str">
        <f ca="1">IF(ISBLANK(INDIRECT(ADDRESS(B35*2+2,3))),"",INDIRECT(ADDRESS(B35*2+2,3)))</f>
        <v>Горбунов Алексей</v>
      </c>
      <c r="D35" s="124"/>
      <c r="E35" s="125"/>
      <c r="F35" s="38">
        <v>13</v>
      </c>
      <c r="G35" s="39">
        <v>10</v>
      </c>
      <c r="H35" s="126" t="str">
        <f ca="1">IF(ISBLANK(INDIRECT(ADDRESS(K35*2+2,3))),"",INDIRECT(ADDRESS(K35*2+2,3)))</f>
        <v>Зимин Михаил</v>
      </c>
      <c r="I35" s="124"/>
      <c r="J35" s="124"/>
      <c r="K35" s="37">
        <v>1</v>
      </c>
      <c r="L35" s="40" t="s">
        <v>10</v>
      </c>
      <c r="M35" s="53"/>
    </row>
  </sheetData>
  <mergeCells count="47">
    <mergeCell ref="M4:M5"/>
    <mergeCell ref="B1:K1"/>
    <mergeCell ref="C3:E3"/>
    <mergeCell ref="B4:B5"/>
    <mergeCell ref="C4:E5"/>
    <mergeCell ref="K4:K5"/>
    <mergeCell ref="B6:B7"/>
    <mergeCell ref="C6:E7"/>
    <mergeCell ref="K6:K7"/>
    <mergeCell ref="M6:M7"/>
    <mergeCell ref="B8:B9"/>
    <mergeCell ref="C8:E9"/>
    <mergeCell ref="K8:K9"/>
    <mergeCell ref="M8:M9"/>
    <mergeCell ref="B21:K21"/>
    <mergeCell ref="B10:B11"/>
    <mergeCell ref="C10:E11"/>
    <mergeCell ref="K10:K11"/>
    <mergeCell ref="M10:M11"/>
    <mergeCell ref="B12:B13"/>
    <mergeCell ref="C12:E13"/>
    <mergeCell ref="K12:K13"/>
    <mergeCell ref="M12:M13"/>
    <mergeCell ref="B17:K17"/>
    <mergeCell ref="C18:E18"/>
    <mergeCell ref="H18:J18"/>
    <mergeCell ref="C19:E19"/>
    <mergeCell ref="H19:J19"/>
    <mergeCell ref="C31:E31"/>
    <mergeCell ref="H31:J31"/>
    <mergeCell ref="C22:E22"/>
    <mergeCell ref="H22:J22"/>
    <mergeCell ref="C23:E23"/>
    <mergeCell ref="H23:J23"/>
    <mergeCell ref="B25:K25"/>
    <mergeCell ref="C26:E26"/>
    <mergeCell ref="H26:J26"/>
    <mergeCell ref="C27:E27"/>
    <mergeCell ref="H27:J27"/>
    <mergeCell ref="B29:K29"/>
    <mergeCell ref="C30:E30"/>
    <mergeCell ref="H30:J30"/>
    <mergeCell ref="B33:K33"/>
    <mergeCell ref="C34:E34"/>
    <mergeCell ref="H34:J34"/>
    <mergeCell ref="C35:E35"/>
    <mergeCell ref="H35:J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N15" sqref="N1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57" customWidth="1"/>
    <col min="14" max="14" width="10.28515625" customWidth="1"/>
    <col min="15" max="15" width="10.28515625" hidden="1" customWidth="1"/>
  </cols>
  <sheetData>
    <row r="1" spans="2:15" ht="65.25" customHeight="1" x14ac:dyDescent="0.25">
      <c r="B1" s="173" t="s">
        <v>25</v>
      </c>
      <c r="C1" s="173"/>
      <c r="D1" s="173"/>
      <c r="E1" s="173"/>
      <c r="F1" s="173"/>
      <c r="G1" s="173"/>
      <c r="H1" s="173"/>
      <c r="I1" s="173"/>
      <c r="J1" s="173"/>
      <c r="K1" s="173"/>
      <c r="L1" t="s">
        <v>30</v>
      </c>
      <c r="M1" s="31">
        <v>46046</v>
      </c>
    </row>
    <row r="2" spans="2:15" ht="15.75" thickBot="1" x14ac:dyDescent="0.3">
      <c r="M2"/>
    </row>
    <row r="3" spans="2:15" ht="30" customHeight="1" thickBot="1" x14ac:dyDescent="0.3">
      <c r="B3" s="90"/>
      <c r="C3" s="128" t="s">
        <v>173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90" t="s">
        <v>1</v>
      </c>
      <c r="L3" s="1" t="s">
        <v>3</v>
      </c>
      <c r="M3" s="21" t="s">
        <v>2</v>
      </c>
    </row>
    <row r="4" spans="2:15" ht="24" customHeight="1" x14ac:dyDescent="0.25">
      <c r="B4" s="131">
        <v>1</v>
      </c>
      <c r="C4" s="174" t="s">
        <v>174</v>
      </c>
      <c r="D4" s="175"/>
      <c r="E4" s="176"/>
      <c r="F4" s="10" t="s">
        <v>24</v>
      </c>
      <c r="G4" s="6" t="str">
        <f ca="1">INDIRECT(ADDRESS(23,6))&amp;":"&amp;INDIRECT(ADDRESS(23,7))</f>
        <v>13:9</v>
      </c>
      <c r="H4" s="6" t="str">
        <f ca="1">INDIRECT(ADDRESS(26,7))&amp;":"&amp;INDIRECT(ADDRESS(26,6))</f>
        <v>6:13</v>
      </c>
      <c r="I4" s="6" t="str">
        <f ca="1">INDIRECT(ADDRESS(30,6))&amp;":"&amp;INDIRECT(ADDRESS(30,7))</f>
        <v>1:13</v>
      </c>
      <c r="J4" s="20" t="str">
        <f ca="1">INDIRECT(ADDRESS(35,7))&amp;":"&amp;INDIRECT(ADDRESS(35,6))</f>
        <v>10:11</v>
      </c>
      <c r="K4" s="150">
        <f ca="1">IF(COUNT(F5:J5)=0,"",COUNTIF(F5:J5,"&gt;0")+0.5*COUNTIF(F5:J5,0))</f>
        <v>1</v>
      </c>
      <c r="L4" s="23"/>
      <c r="M4" s="148">
        <v>4</v>
      </c>
    </row>
    <row r="5" spans="2:15" ht="24" customHeight="1" x14ac:dyDescent="0.25">
      <c r="B5" s="132"/>
      <c r="C5" s="170"/>
      <c r="D5" s="171"/>
      <c r="E5" s="172"/>
      <c r="F5" s="13" t="s">
        <v>24</v>
      </c>
      <c r="G5" s="16">
        <f ca="1">IF(LEN(INDIRECT(ADDRESS(ROW()-1, COLUMN())))=1,"",INDIRECT(ADDRESS(23,6))-INDIRECT(ADDRESS(23,7)))</f>
        <v>4</v>
      </c>
      <c r="H5" s="16">
        <f ca="1">IF(LEN(INDIRECT(ADDRESS(ROW()-1, COLUMN())))=1,"",INDIRECT(ADDRESS(26,7))-INDIRECT(ADDRESS(26,6)))</f>
        <v>-7</v>
      </c>
      <c r="I5" s="16">
        <f ca="1">IF(LEN(INDIRECT(ADDRESS(ROW()-1, COLUMN())))=1,"",INDIRECT(ADDRESS(30,6))-INDIRECT(ADDRESS(30,7)))</f>
        <v>-12</v>
      </c>
      <c r="J5" s="17">
        <f ca="1">IF(LEN(INDIRECT(ADDRESS(ROW()-1, COLUMN())))=1,"",INDIRECT(ADDRESS(35,7))-INDIRECT(ADDRESS(35,6)))</f>
        <v>-1</v>
      </c>
      <c r="K5" s="151"/>
      <c r="L5" s="16">
        <f ca="1">IF(COUNT(F5:J5)=0,"",SUM(F5:J5))</f>
        <v>-16</v>
      </c>
      <c r="M5" s="149"/>
    </row>
    <row r="6" spans="2:15" ht="24" customHeight="1" x14ac:dyDescent="0.25">
      <c r="B6" s="139">
        <v>2</v>
      </c>
      <c r="C6" s="170" t="s">
        <v>175</v>
      </c>
      <c r="D6" s="171"/>
      <c r="E6" s="172"/>
      <c r="F6" s="12" t="str">
        <f ca="1">INDIRECT(ADDRESS(23,7))&amp;":"&amp;INDIRECT(ADDRESS(23,6))</f>
        <v>9:13</v>
      </c>
      <c r="G6" s="8" t="s">
        <v>24</v>
      </c>
      <c r="H6" s="7" t="str">
        <f ca="1">INDIRECT(ADDRESS(31,6))&amp;":"&amp;INDIRECT(ADDRESS(31,7))</f>
        <v>5:13</v>
      </c>
      <c r="I6" s="7" t="str">
        <f ca="1">INDIRECT(ADDRESS(34,7))&amp;":"&amp;INDIRECT(ADDRESS(34,6))</f>
        <v>13:6</v>
      </c>
      <c r="J6" s="11" t="str">
        <f ca="1">INDIRECT(ADDRESS(18,6))&amp;":"&amp;INDIRECT(ADDRESS(18,7))</f>
        <v>10:13</v>
      </c>
      <c r="K6" s="151">
        <f ca="1">IF(COUNT(F7:J7)=0,"",COUNTIF(F7:J7,"&gt;0")+0.5*COUNTIF(F7:J7,0))</f>
        <v>1</v>
      </c>
      <c r="L6" s="16"/>
      <c r="M6" s="149">
        <v>5</v>
      </c>
    </row>
    <row r="7" spans="2:15" ht="24" customHeight="1" x14ac:dyDescent="0.25">
      <c r="B7" s="132"/>
      <c r="C7" s="170"/>
      <c r="D7" s="171"/>
      <c r="E7" s="172"/>
      <c r="F7" s="22">
        <f ca="1">IF(LEN(INDIRECT(ADDRESS(ROW()-1, COLUMN())))=1,"",INDIRECT(ADDRESS(23,7))-INDIRECT(ADDRESS(23,6)))</f>
        <v>-4</v>
      </c>
      <c r="G7" s="14" t="s">
        <v>24</v>
      </c>
      <c r="H7" s="16">
        <f ca="1">IF(LEN(INDIRECT(ADDRESS(ROW()-1, COLUMN())))=1,"",INDIRECT(ADDRESS(31,6))-INDIRECT(ADDRESS(31,7)))</f>
        <v>-8</v>
      </c>
      <c r="I7" s="16">
        <f ca="1">IF(LEN(INDIRECT(ADDRESS(ROW()-1, COLUMN())))=1,"",INDIRECT(ADDRESS(34,7))-INDIRECT(ADDRESS(34,6)))</f>
        <v>7</v>
      </c>
      <c r="J7" s="17">
        <f ca="1">IF(LEN(INDIRECT(ADDRESS(ROW()-1, COLUMN())))=1,"",INDIRECT(ADDRESS(18,6))-INDIRECT(ADDRESS(18,7)))</f>
        <v>-3</v>
      </c>
      <c r="K7" s="151"/>
      <c r="L7" s="16">
        <f ca="1">IF(COUNT(F7:J7)=0,"",SUM(F7:J7))</f>
        <v>-8</v>
      </c>
      <c r="M7" s="149"/>
    </row>
    <row r="8" spans="2:15" ht="24" customHeight="1" x14ac:dyDescent="0.25">
      <c r="B8" s="164">
        <v>3</v>
      </c>
      <c r="C8" s="136" t="s">
        <v>176</v>
      </c>
      <c r="D8" s="137"/>
      <c r="E8" s="138"/>
      <c r="F8" s="91" t="str">
        <f ca="1">INDIRECT(ADDRESS(26,6))&amp;":"&amp;INDIRECT(ADDRESS(26,7))</f>
        <v>13:6</v>
      </c>
      <c r="G8" s="92" t="str">
        <f ca="1">INDIRECT(ADDRESS(31,7))&amp;":"&amp;INDIRECT(ADDRESS(31,6))</f>
        <v>13:5</v>
      </c>
      <c r="H8" s="8" t="s">
        <v>24</v>
      </c>
      <c r="I8" s="92" t="str">
        <f ca="1">INDIRECT(ADDRESS(19,6))&amp;":"&amp;INDIRECT(ADDRESS(19,7))</f>
        <v>7:13</v>
      </c>
      <c r="J8" s="93" t="str">
        <f ca="1">INDIRECT(ADDRESS(22,7))&amp;":"&amp;INDIRECT(ADDRESS(22,6))</f>
        <v>13:4</v>
      </c>
      <c r="K8" s="161">
        <f ca="1">IF(COUNT(F9:J9)=0,"",COUNTIF(F9:J9,"&gt;0")+0.5*COUNTIF(F9:J9,0))</f>
        <v>3</v>
      </c>
      <c r="L8" s="43">
        <v>-6</v>
      </c>
      <c r="M8" s="160">
        <v>2</v>
      </c>
      <c r="O8">
        <f>13+13+7+13</f>
        <v>46</v>
      </c>
    </row>
    <row r="9" spans="2:15" ht="24" customHeight="1" x14ac:dyDescent="0.25">
      <c r="B9" s="165"/>
      <c r="C9" s="136"/>
      <c r="D9" s="137"/>
      <c r="E9" s="138"/>
      <c r="F9" s="95">
        <f ca="1">IF(LEN(INDIRECT(ADDRESS(ROW()-1, COLUMN())))=1,"",INDIRECT(ADDRESS(26,6))-INDIRECT(ADDRESS(26,7)))</f>
        <v>7</v>
      </c>
      <c r="G9" s="94">
        <f ca="1">IF(LEN(INDIRECT(ADDRESS(ROW()-1, COLUMN())))=1,"",INDIRECT(ADDRESS(31,7))-INDIRECT(ADDRESS(31,6)))</f>
        <v>8</v>
      </c>
      <c r="H9" s="14" t="s">
        <v>24</v>
      </c>
      <c r="I9" s="94">
        <f ca="1">IF(LEN(INDIRECT(ADDRESS(ROW()-1, COLUMN())))=1,"",INDIRECT(ADDRESS(19,6))-INDIRECT(ADDRESS(19,7)))</f>
        <v>-6</v>
      </c>
      <c r="J9" s="96">
        <f ca="1">IF(LEN(INDIRECT(ADDRESS(ROW()-1, COLUMN())))=1,"",INDIRECT(ADDRESS(22,7))-INDIRECT(ADDRESS(22,6)))</f>
        <v>9</v>
      </c>
      <c r="K9" s="161"/>
      <c r="L9" s="43">
        <f ca="1">IF(COUNT(F9:J9)=0,"",SUM(F9:J9))</f>
        <v>18</v>
      </c>
      <c r="M9" s="160"/>
    </row>
    <row r="10" spans="2:15" ht="24" customHeight="1" x14ac:dyDescent="0.25">
      <c r="B10" s="164">
        <v>4</v>
      </c>
      <c r="C10" s="136" t="s">
        <v>177</v>
      </c>
      <c r="D10" s="137"/>
      <c r="E10" s="138"/>
      <c r="F10" s="97" t="str">
        <f ca="1">INDIRECT(ADDRESS(30,7))&amp;":"&amp;INDIRECT(ADDRESS(30,6))</f>
        <v>13:1</v>
      </c>
      <c r="G10" s="98" t="str">
        <f ca="1">INDIRECT(ADDRESS(34,6))&amp;":"&amp;INDIRECT(ADDRESS(34,7))</f>
        <v>6:13</v>
      </c>
      <c r="H10" s="98" t="str">
        <f ca="1">INDIRECT(ADDRESS(19,7))&amp;":"&amp;INDIRECT(ADDRESS(19,6))</f>
        <v>13:7</v>
      </c>
      <c r="I10" s="8" t="s">
        <v>24</v>
      </c>
      <c r="J10" s="99" t="str">
        <f ca="1">INDIRECT(ADDRESS(27,6))&amp;":"&amp;INDIRECT(ADDRESS(27,7))</f>
        <v>13:8</v>
      </c>
      <c r="K10" s="161">
        <f ca="1">IF(COUNT(F11:J11)=0,"",COUNTIF(F11:J11,"&gt;0")+0.5*COUNTIF(F11:J11,0))</f>
        <v>3</v>
      </c>
      <c r="L10" s="43">
        <v>6</v>
      </c>
      <c r="M10" s="160">
        <v>1</v>
      </c>
      <c r="O10">
        <f>13+6+13+13</f>
        <v>45</v>
      </c>
    </row>
    <row r="11" spans="2:15" ht="24" customHeight="1" thickBot="1" x14ac:dyDescent="0.3">
      <c r="B11" s="165"/>
      <c r="C11" s="136"/>
      <c r="D11" s="137"/>
      <c r="E11" s="138"/>
      <c r="F11" s="101">
        <f ca="1">IF(LEN(INDIRECT(ADDRESS(ROW()-1, COLUMN())))=1,"",INDIRECT(ADDRESS(30,7))-INDIRECT(ADDRESS(30,6)))</f>
        <v>12</v>
      </c>
      <c r="G11" s="100">
        <f ca="1">IF(LEN(INDIRECT(ADDRESS(ROW()-1, COLUMN())))=1,"",INDIRECT(ADDRESS(34,6))-INDIRECT(ADDRESS(34,7)))</f>
        <v>-7</v>
      </c>
      <c r="H11" s="100">
        <f ca="1">IF(LEN(INDIRECT(ADDRESS(ROW()-1, COLUMN())))=1,"",INDIRECT(ADDRESS(19,7))-INDIRECT(ADDRESS(19,6)))</f>
        <v>6</v>
      </c>
      <c r="I11" s="14" t="s">
        <v>24</v>
      </c>
      <c r="J11" s="102">
        <f ca="1">IF(LEN(INDIRECT(ADDRESS(ROW()-1, COLUMN())))=1,"",INDIRECT(ADDRESS(27,6))-INDIRECT(ADDRESS(27,7)))</f>
        <v>5</v>
      </c>
      <c r="K11" s="161"/>
      <c r="L11" s="43">
        <f ca="1">IF(COUNT(F11:J11)=0,"",SUM(F11:J11))</f>
        <v>16</v>
      </c>
      <c r="M11" s="160"/>
    </row>
    <row r="12" spans="2:15" ht="24" customHeight="1" x14ac:dyDescent="0.25">
      <c r="B12" s="164">
        <v>5</v>
      </c>
      <c r="C12" s="157" t="s">
        <v>178</v>
      </c>
      <c r="D12" s="158"/>
      <c r="E12" s="159"/>
      <c r="F12" s="12" t="str">
        <f ca="1">INDIRECT(ADDRESS(35,6))&amp;":"&amp;INDIRECT(ADDRESS(35,7))</f>
        <v>11:10</v>
      </c>
      <c r="G12" s="7" t="str">
        <f ca="1">INDIRECT(ADDRESS(18,7))&amp;":"&amp;INDIRECT(ADDRESS(18,6))</f>
        <v>13:10</v>
      </c>
      <c r="H12" s="7" t="str">
        <f ca="1">INDIRECT(ADDRESS(22,6))&amp;":"&amp;INDIRECT(ADDRESS(22,7))</f>
        <v>4:13</v>
      </c>
      <c r="I12" s="7" t="str">
        <f ca="1">INDIRECT(ADDRESS(27,7))&amp;":"&amp;INDIRECT(ADDRESS(27,6))</f>
        <v>8:13</v>
      </c>
      <c r="J12" s="34" t="s">
        <v>24</v>
      </c>
      <c r="K12" s="161">
        <f ca="1">IF(COUNT(F13:J13)=0,"",COUNTIF(F13:J13,"&gt;0")+0.5*COUNTIF(F13:J13,0))</f>
        <v>2</v>
      </c>
      <c r="L12" s="43"/>
      <c r="M12" s="160">
        <v>3</v>
      </c>
      <c r="O12">
        <f>11+13+4+8</f>
        <v>36</v>
      </c>
    </row>
    <row r="13" spans="2:15" ht="24" customHeight="1" thickBot="1" x14ac:dyDescent="0.3">
      <c r="B13" s="166"/>
      <c r="C13" s="167"/>
      <c r="D13" s="168"/>
      <c r="E13" s="169"/>
      <c r="F13" s="19">
        <f ca="1">IF(LEN(INDIRECT(ADDRESS(ROW()-1, COLUMN())))=1,"",INDIRECT(ADDRESS(35,6))-INDIRECT(ADDRESS(35,7)))</f>
        <v>1</v>
      </c>
      <c r="G13" s="18">
        <f ca="1">IF(LEN(INDIRECT(ADDRESS(ROW()-1, COLUMN())))=1,"",INDIRECT(ADDRESS(18,7))-INDIRECT(ADDRESS(18,6)))</f>
        <v>3</v>
      </c>
      <c r="H13" s="18">
        <f ca="1">IF(LEN(INDIRECT(ADDRESS(ROW()-1, COLUMN())))=1,"",INDIRECT(ADDRESS(22,6))-INDIRECT(ADDRESS(22,7)))</f>
        <v>-9</v>
      </c>
      <c r="I13" s="18">
        <f ca="1">IF(LEN(INDIRECT(ADDRESS(ROW()-1, COLUMN())))=1,"",INDIRECT(ADDRESS(27,7))-INDIRECT(ADDRESS(27,6)))</f>
        <v>-5</v>
      </c>
      <c r="J13" s="15" t="s">
        <v>24</v>
      </c>
      <c r="K13" s="162"/>
      <c r="L13" s="44">
        <f ca="1">IF(COUNT(F13:J13)=0,"",SUM(F13:J13))</f>
        <v>-10</v>
      </c>
      <c r="M13" s="163"/>
    </row>
    <row r="14" spans="2:15" x14ac:dyDescent="0.25">
      <c r="M14"/>
    </row>
    <row r="15" spans="2:15" x14ac:dyDescent="0.25">
      <c r="M15"/>
    </row>
    <row r="16" spans="2:15" x14ac:dyDescent="0.25">
      <c r="M16"/>
    </row>
    <row r="17" spans="1:13" s="36" customFormat="1" ht="30" customHeight="1" thickBot="1" x14ac:dyDescent="0.4">
      <c r="A17" s="35"/>
      <c r="B17" s="147" t="s">
        <v>4</v>
      </c>
      <c r="C17" s="147"/>
      <c r="D17" s="147"/>
      <c r="E17" s="147"/>
      <c r="F17" s="147"/>
      <c r="G17" s="147"/>
      <c r="H17" s="147"/>
      <c r="I17" s="147"/>
      <c r="J17" s="147"/>
      <c r="K17" s="147"/>
      <c r="M17" s="56"/>
    </row>
    <row r="18" spans="1:13" s="36" customFormat="1" ht="30" customHeight="1" thickBot="1" x14ac:dyDescent="0.4">
      <c r="A18" s="35"/>
      <c r="B18" s="37">
        <v>2</v>
      </c>
      <c r="C18" s="124" t="str">
        <f ca="1">IF(ISBLANK(INDIRECT(ADDRESS(B18*2+2,3))),"",INDIRECT(ADDRESS(B18*2+2,3)))</f>
        <v>Сяплин Андрей</v>
      </c>
      <c r="D18" s="124"/>
      <c r="E18" s="125"/>
      <c r="F18" s="38">
        <v>10</v>
      </c>
      <c r="G18" s="39">
        <v>13</v>
      </c>
      <c r="H18" s="126" t="str">
        <f ca="1">IF(ISBLANK(INDIRECT(ADDRESS(K18*2+2,3))),"",INDIRECT(ADDRESS(K18*2+2,3)))</f>
        <v>Мазеев Алексей</v>
      </c>
      <c r="I18" s="124"/>
      <c r="J18" s="124"/>
      <c r="K18" s="37">
        <v>5</v>
      </c>
      <c r="L18" s="40" t="s">
        <v>10</v>
      </c>
      <c r="M18" s="89">
        <v>1</v>
      </c>
    </row>
    <row r="19" spans="1:13" s="36" customFormat="1" ht="30" customHeight="1" thickBot="1" x14ac:dyDescent="0.4">
      <c r="A19" s="35"/>
      <c r="B19" s="37">
        <v>3</v>
      </c>
      <c r="C19" s="124" t="str">
        <f ca="1">IF(ISBLANK(INDIRECT(ADDRESS(B19*2+2,3))),"",INDIRECT(ADDRESS(B19*2+2,3)))</f>
        <v>Петренко Евгений</v>
      </c>
      <c r="D19" s="124"/>
      <c r="E19" s="125"/>
      <c r="F19" s="38">
        <v>7</v>
      </c>
      <c r="G19" s="39">
        <v>13</v>
      </c>
      <c r="H19" s="126" t="str">
        <f ca="1">IF(ISBLANK(INDIRECT(ADDRESS(K19*2+2,3))),"",INDIRECT(ADDRESS(K19*2+2,3)))</f>
        <v>Гольдт Егор</v>
      </c>
      <c r="I19" s="124"/>
      <c r="J19" s="124"/>
      <c r="K19" s="37">
        <v>4</v>
      </c>
      <c r="L19" s="40" t="s">
        <v>10</v>
      </c>
      <c r="M19" s="89">
        <v>2</v>
      </c>
    </row>
    <row r="20" spans="1:13" s="36" customFormat="1" ht="30" customHeight="1" x14ac:dyDescent="0.35">
      <c r="A20" s="35"/>
      <c r="M20" s="41"/>
    </row>
    <row r="21" spans="1:13" s="36" customFormat="1" ht="30" customHeight="1" thickBot="1" x14ac:dyDescent="0.4">
      <c r="A21" s="35"/>
      <c r="B21" s="147" t="s">
        <v>5</v>
      </c>
      <c r="C21" s="147"/>
      <c r="D21" s="147"/>
      <c r="E21" s="147"/>
      <c r="F21" s="147"/>
      <c r="G21" s="147"/>
      <c r="H21" s="147"/>
      <c r="I21" s="147"/>
      <c r="J21" s="147"/>
      <c r="K21" s="147"/>
      <c r="M21" s="41"/>
    </row>
    <row r="22" spans="1:13" s="36" customFormat="1" ht="30" customHeight="1" thickBot="1" x14ac:dyDescent="0.4">
      <c r="A22" s="35"/>
      <c r="B22" s="37">
        <v>5</v>
      </c>
      <c r="C22" s="124" t="str">
        <f ca="1">IF(ISBLANK(INDIRECT(ADDRESS(B22*2+2,3))),"",INDIRECT(ADDRESS(B22*2+2,3)))</f>
        <v>Мазеев Алексей</v>
      </c>
      <c r="D22" s="124"/>
      <c r="E22" s="125"/>
      <c r="F22" s="38">
        <v>4</v>
      </c>
      <c r="G22" s="39">
        <v>13</v>
      </c>
      <c r="H22" s="126" t="str">
        <f ca="1">IF(ISBLANK(INDIRECT(ADDRESS(K22*2+2,3))),"",INDIRECT(ADDRESS(K22*2+2,3)))</f>
        <v>Петренко Евгений</v>
      </c>
      <c r="I22" s="124"/>
      <c r="J22" s="124"/>
      <c r="K22" s="37">
        <v>3</v>
      </c>
      <c r="L22" s="40" t="s">
        <v>10</v>
      </c>
      <c r="M22" s="89">
        <v>1</v>
      </c>
    </row>
    <row r="23" spans="1:13" s="36" customFormat="1" ht="30" customHeight="1" thickBot="1" x14ac:dyDescent="0.4">
      <c r="A23" s="35"/>
      <c r="B23" s="37">
        <v>1</v>
      </c>
      <c r="C23" s="124" t="str">
        <f ca="1">IF(ISBLANK(INDIRECT(ADDRESS(B23*2+2,3))),"",INDIRECT(ADDRESS(B23*2+2,3)))</f>
        <v>Данилов Иван</v>
      </c>
      <c r="D23" s="124"/>
      <c r="E23" s="125"/>
      <c r="F23" s="38">
        <v>13</v>
      </c>
      <c r="G23" s="39">
        <v>9</v>
      </c>
      <c r="H23" s="126" t="str">
        <f ca="1">IF(ISBLANK(INDIRECT(ADDRESS(K23*2+2,3))),"",INDIRECT(ADDRESS(K23*2+2,3)))</f>
        <v>Сяплин Андрей</v>
      </c>
      <c r="I23" s="124"/>
      <c r="J23" s="124"/>
      <c r="K23" s="37">
        <v>2</v>
      </c>
      <c r="L23" s="40" t="s">
        <v>10</v>
      </c>
      <c r="M23" s="89">
        <v>2</v>
      </c>
    </row>
    <row r="24" spans="1:13" s="36" customFormat="1" ht="30" customHeight="1" x14ac:dyDescent="0.35">
      <c r="A24" s="35"/>
      <c r="M24" s="41"/>
    </row>
    <row r="25" spans="1:13" s="36" customFormat="1" ht="30" customHeight="1" thickBot="1" x14ac:dyDescent="0.4">
      <c r="A25" s="35"/>
      <c r="B25" s="147" t="s">
        <v>6</v>
      </c>
      <c r="C25" s="147"/>
      <c r="D25" s="147"/>
      <c r="E25" s="147"/>
      <c r="F25" s="147"/>
      <c r="G25" s="147"/>
      <c r="H25" s="147"/>
      <c r="I25" s="147"/>
      <c r="J25" s="147"/>
      <c r="K25" s="147"/>
      <c r="M25" s="41"/>
    </row>
    <row r="26" spans="1:13" s="36" customFormat="1" ht="30" customHeight="1" thickBot="1" x14ac:dyDescent="0.4">
      <c r="A26" s="35"/>
      <c r="B26" s="37">
        <v>3</v>
      </c>
      <c r="C26" s="124" t="str">
        <f ca="1">IF(ISBLANK(INDIRECT(ADDRESS(B26*2+2,3))),"",INDIRECT(ADDRESS(B26*2+2,3)))</f>
        <v>Петренко Евгений</v>
      </c>
      <c r="D26" s="124"/>
      <c r="E26" s="125"/>
      <c r="F26" s="38">
        <v>13</v>
      </c>
      <c r="G26" s="39">
        <v>6</v>
      </c>
      <c r="H26" s="126" t="str">
        <f ca="1">IF(ISBLANK(INDIRECT(ADDRESS(K26*2+2,3))),"",INDIRECT(ADDRESS(K26*2+2,3)))</f>
        <v>Данилов Иван</v>
      </c>
      <c r="I26" s="124"/>
      <c r="J26" s="124"/>
      <c r="K26" s="37">
        <v>1</v>
      </c>
      <c r="L26" s="40" t="s">
        <v>10</v>
      </c>
      <c r="M26" s="89">
        <v>1</v>
      </c>
    </row>
    <row r="27" spans="1:13" s="36" customFormat="1" ht="30" customHeight="1" thickBot="1" x14ac:dyDescent="0.4">
      <c r="A27" s="35"/>
      <c r="B27" s="37">
        <v>4</v>
      </c>
      <c r="C27" s="124" t="str">
        <f ca="1">IF(ISBLANK(INDIRECT(ADDRESS(B27*2+2,3))),"",INDIRECT(ADDRESS(B27*2+2,3)))</f>
        <v>Гольдт Егор</v>
      </c>
      <c r="D27" s="124"/>
      <c r="E27" s="125"/>
      <c r="F27" s="38">
        <v>13</v>
      </c>
      <c r="G27" s="39">
        <v>8</v>
      </c>
      <c r="H27" s="126" t="str">
        <f ca="1">IF(ISBLANK(INDIRECT(ADDRESS(K27*2+2,3))),"",INDIRECT(ADDRESS(K27*2+2,3)))</f>
        <v>Мазеев Алексей</v>
      </c>
      <c r="I27" s="124"/>
      <c r="J27" s="124"/>
      <c r="K27" s="37">
        <v>5</v>
      </c>
      <c r="L27" s="40" t="s">
        <v>10</v>
      </c>
      <c r="M27" s="89">
        <v>2</v>
      </c>
    </row>
    <row r="28" spans="1:13" s="36" customFormat="1" ht="30" customHeight="1" x14ac:dyDescent="0.35">
      <c r="A28" s="35"/>
      <c r="M28" s="41"/>
    </row>
    <row r="29" spans="1:13" s="36" customFormat="1" ht="30" customHeight="1" thickBot="1" x14ac:dyDescent="0.4">
      <c r="A29" s="35"/>
      <c r="B29" s="147" t="s">
        <v>7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s="36" customFormat="1" ht="30" customHeight="1" thickBot="1" x14ac:dyDescent="0.4">
      <c r="A30" s="35"/>
      <c r="B30" s="37">
        <v>1</v>
      </c>
      <c r="C30" s="124" t="str">
        <f ca="1">IF(ISBLANK(INDIRECT(ADDRESS(B30*2+2,3))),"",INDIRECT(ADDRESS(B30*2+2,3)))</f>
        <v>Данилов Иван</v>
      </c>
      <c r="D30" s="124"/>
      <c r="E30" s="125"/>
      <c r="F30" s="38">
        <v>1</v>
      </c>
      <c r="G30" s="39">
        <v>13</v>
      </c>
      <c r="H30" s="126" t="str">
        <f ca="1">IF(ISBLANK(INDIRECT(ADDRESS(K30*2+2,3))),"",INDIRECT(ADDRESS(K30*2+2,3)))</f>
        <v>Гольдт Егор</v>
      </c>
      <c r="I30" s="124"/>
      <c r="J30" s="124"/>
      <c r="K30" s="37">
        <v>4</v>
      </c>
      <c r="L30" s="40" t="s">
        <v>10</v>
      </c>
      <c r="M30" s="89">
        <v>1</v>
      </c>
    </row>
    <row r="31" spans="1:13" s="36" customFormat="1" ht="30" customHeight="1" thickBot="1" x14ac:dyDescent="0.4">
      <c r="A31" s="35"/>
      <c r="B31" s="37">
        <v>2</v>
      </c>
      <c r="C31" s="124" t="str">
        <f ca="1">IF(ISBLANK(INDIRECT(ADDRESS(B31*2+2,3))),"",INDIRECT(ADDRESS(B31*2+2,3)))</f>
        <v>Сяплин Андрей</v>
      </c>
      <c r="D31" s="124"/>
      <c r="E31" s="125"/>
      <c r="F31" s="38">
        <v>5</v>
      </c>
      <c r="G31" s="39">
        <v>13</v>
      </c>
      <c r="H31" s="126" t="str">
        <f ca="1">IF(ISBLANK(INDIRECT(ADDRESS(K31*2+2,3))),"",INDIRECT(ADDRESS(K31*2+2,3)))</f>
        <v>Петренко Евгений</v>
      </c>
      <c r="I31" s="124"/>
      <c r="J31" s="124"/>
      <c r="K31" s="37">
        <v>3</v>
      </c>
      <c r="L31" s="40" t="s">
        <v>10</v>
      </c>
      <c r="M31" s="89">
        <v>2</v>
      </c>
    </row>
    <row r="32" spans="1:13" s="36" customFormat="1" ht="30" customHeight="1" x14ac:dyDescent="0.35">
      <c r="A32" s="35"/>
      <c r="M32" s="41"/>
    </row>
    <row r="33" spans="1:13" s="36" customFormat="1" ht="30" customHeight="1" thickBot="1" x14ac:dyDescent="0.4">
      <c r="A33" s="35"/>
      <c r="B33" s="147" t="s">
        <v>8</v>
      </c>
      <c r="C33" s="147"/>
      <c r="D33" s="147"/>
      <c r="E33" s="147"/>
      <c r="F33" s="147"/>
      <c r="G33" s="147"/>
      <c r="H33" s="147"/>
      <c r="I33" s="147"/>
      <c r="J33" s="147"/>
      <c r="K33" s="147"/>
      <c r="M33" s="41"/>
    </row>
    <row r="34" spans="1:13" s="36" customFormat="1" ht="30" customHeight="1" thickBot="1" x14ac:dyDescent="0.4">
      <c r="A34" s="35"/>
      <c r="B34" s="37">
        <v>4</v>
      </c>
      <c r="C34" s="124" t="str">
        <f ca="1">IF(ISBLANK(INDIRECT(ADDRESS(B34*2+2,3))),"",INDIRECT(ADDRESS(B34*2+2,3)))</f>
        <v>Гольдт Егор</v>
      </c>
      <c r="D34" s="124"/>
      <c r="E34" s="125"/>
      <c r="F34" s="38">
        <v>6</v>
      </c>
      <c r="G34" s="39">
        <v>13</v>
      </c>
      <c r="H34" s="126" t="str">
        <f ca="1">IF(ISBLANK(INDIRECT(ADDRESS(K34*2+2,3))),"",INDIRECT(ADDRESS(K34*2+2,3)))</f>
        <v>Сяплин Андрей</v>
      </c>
      <c r="I34" s="124"/>
      <c r="J34" s="124"/>
      <c r="K34" s="37">
        <v>2</v>
      </c>
      <c r="L34" s="40" t="s">
        <v>10</v>
      </c>
      <c r="M34" s="89">
        <v>1</v>
      </c>
    </row>
    <row r="35" spans="1:13" s="36" customFormat="1" ht="30" customHeight="1" thickBot="1" x14ac:dyDescent="0.4">
      <c r="A35" s="35"/>
      <c r="B35" s="37">
        <v>5</v>
      </c>
      <c r="C35" s="124" t="str">
        <f ca="1">IF(ISBLANK(INDIRECT(ADDRESS(B35*2+2,3))),"",INDIRECT(ADDRESS(B35*2+2,3)))</f>
        <v>Мазеев Алексей</v>
      </c>
      <c r="D35" s="124"/>
      <c r="E35" s="125"/>
      <c r="F35" s="38">
        <v>11</v>
      </c>
      <c r="G35" s="39">
        <v>10</v>
      </c>
      <c r="H35" s="126" t="str">
        <f ca="1">IF(ISBLANK(INDIRECT(ADDRESS(K35*2+2,3))),"",INDIRECT(ADDRESS(K35*2+2,3)))</f>
        <v>Данилов Иван</v>
      </c>
      <c r="I35" s="124"/>
      <c r="J35" s="124"/>
      <c r="K35" s="37">
        <v>1</v>
      </c>
      <c r="L35" s="40" t="s">
        <v>10</v>
      </c>
      <c r="M35" s="89">
        <v>2</v>
      </c>
    </row>
  </sheetData>
  <mergeCells count="47">
    <mergeCell ref="C23:E23"/>
    <mergeCell ref="H23:J23"/>
    <mergeCell ref="B25:K25"/>
    <mergeCell ref="B33:K33"/>
    <mergeCell ref="C34:E34"/>
    <mergeCell ref="H34:J34"/>
    <mergeCell ref="B1:K1"/>
    <mergeCell ref="C3:E3"/>
    <mergeCell ref="B4:B5"/>
    <mergeCell ref="C4:E5"/>
    <mergeCell ref="K4:K5"/>
    <mergeCell ref="M4:M5"/>
    <mergeCell ref="B6:B7"/>
    <mergeCell ref="C6:E7"/>
    <mergeCell ref="B8:B9"/>
    <mergeCell ref="C8:E9"/>
    <mergeCell ref="K6:K7"/>
    <mergeCell ref="M6:M7"/>
    <mergeCell ref="K8:K9"/>
    <mergeCell ref="M8:M9"/>
    <mergeCell ref="M10:M11"/>
    <mergeCell ref="K12:K13"/>
    <mergeCell ref="M12:M13"/>
    <mergeCell ref="C22:E22"/>
    <mergeCell ref="H22:J22"/>
    <mergeCell ref="B17:K17"/>
    <mergeCell ref="C18:E18"/>
    <mergeCell ref="H18:J18"/>
    <mergeCell ref="C19:E19"/>
    <mergeCell ref="H19:J19"/>
    <mergeCell ref="B21:K21"/>
    <mergeCell ref="B10:B11"/>
    <mergeCell ref="C10:E11"/>
    <mergeCell ref="B12:B13"/>
    <mergeCell ref="C12:E13"/>
    <mergeCell ref="K10:K11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S12" sqref="S12"/>
    </sheetView>
  </sheetViews>
  <sheetFormatPr defaultRowHeight="15" x14ac:dyDescent="0.25"/>
  <cols>
    <col min="1" max="1" width="4" style="30" customWidth="1"/>
    <col min="2" max="13" width="10.28515625" customWidth="1"/>
    <col min="14" max="14" width="22" customWidth="1"/>
    <col min="15" max="17" width="10.28515625" customWidth="1"/>
    <col min="18" max="18" width="10.28515625" hidden="1" customWidth="1"/>
    <col min="19" max="19" width="10.28515625" customWidth="1"/>
  </cols>
  <sheetData>
    <row r="1" spans="2:18" ht="59.25" customHeight="1" x14ac:dyDescent="0.25">
      <c r="B1" s="127" t="s">
        <v>185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12"/>
      <c r="O1" s="31" t="s">
        <v>30</v>
      </c>
      <c r="P1" s="31">
        <v>46046</v>
      </c>
    </row>
    <row r="2" spans="2:18" ht="15.75" thickBot="1" x14ac:dyDescent="0.3"/>
    <row r="3" spans="2:18" ht="30" customHeight="1" thickBot="1" x14ac:dyDescent="0.3">
      <c r="B3" s="90"/>
      <c r="C3" s="128" t="s">
        <v>179</v>
      </c>
      <c r="D3" s="129"/>
      <c r="E3" s="130"/>
      <c r="F3" s="237">
        <v>1</v>
      </c>
      <c r="G3" s="238"/>
      <c r="H3" s="237">
        <v>2</v>
      </c>
      <c r="I3" s="238"/>
      <c r="J3" s="237">
        <v>3</v>
      </c>
      <c r="K3" s="238"/>
      <c r="L3" s="237">
        <v>4</v>
      </c>
      <c r="M3" s="239"/>
      <c r="N3" s="90" t="s">
        <v>1</v>
      </c>
      <c r="O3" s="1" t="s">
        <v>180</v>
      </c>
      <c r="P3" s="21" t="s">
        <v>2</v>
      </c>
    </row>
    <row r="4" spans="2:18" ht="24" customHeight="1" x14ac:dyDescent="0.25">
      <c r="B4" s="131">
        <v>1</v>
      </c>
      <c r="C4" s="183" t="s">
        <v>181</v>
      </c>
      <c r="D4" s="184"/>
      <c r="E4" s="185"/>
      <c r="F4" s="10" t="s">
        <v>24</v>
      </c>
      <c r="G4" s="103"/>
      <c r="H4" s="6">
        <f>F29</f>
        <v>4</v>
      </c>
      <c r="I4" s="6">
        <f>G29</f>
        <v>13</v>
      </c>
      <c r="J4" s="6">
        <f>G33</f>
        <v>13</v>
      </c>
      <c r="K4" s="6">
        <f>F33</f>
        <v>4</v>
      </c>
      <c r="L4" s="6">
        <f>F24</f>
        <v>7</v>
      </c>
      <c r="M4" s="6">
        <f>G24</f>
        <v>12</v>
      </c>
      <c r="N4" s="205">
        <f>H5+J5+L5+L7+J7+H7</f>
        <v>2</v>
      </c>
      <c r="O4" s="217">
        <f>H4-I4+J4-K4+L4-M4+H6-I6+J6-K6+L6-M6</f>
        <v>-19</v>
      </c>
      <c r="P4" s="219">
        <v>3</v>
      </c>
    </row>
    <row r="5" spans="2:18" ht="24" customHeight="1" x14ac:dyDescent="0.25">
      <c r="B5" s="240"/>
      <c r="C5" s="186"/>
      <c r="D5" s="187"/>
      <c r="E5" s="188"/>
      <c r="F5" s="104" t="s">
        <v>24</v>
      </c>
      <c r="G5" s="105"/>
      <c r="H5" s="222">
        <f>IF(H4&gt;I4,1,0)</f>
        <v>0</v>
      </c>
      <c r="I5" s="222"/>
      <c r="J5" s="222">
        <f>IF(J4&gt;K4,1,0)</f>
        <v>1</v>
      </c>
      <c r="K5" s="222"/>
      <c r="L5" s="222">
        <f>IF(L4&gt;M4,1,0)</f>
        <v>0</v>
      </c>
      <c r="M5" s="223"/>
      <c r="N5" s="206"/>
      <c r="O5" s="218"/>
      <c r="P5" s="220"/>
      <c r="R5" s="106">
        <f>H4+J4+L4+H6+J6+L6</f>
        <v>38</v>
      </c>
    </row>
    <row r="6" spans="2:18" ht="24" customHeight="1" x14ac:dyDescent="0.25">
      <c r="B6" s="240"/>
      <c r="C6" s="186"/>
      <c r="D6" s="187"/>
      <c r="E6" s="188"/>
      <c r="F6" s="13"/>
      <c r="G6" s="14"/>
      <c r="H6" s="7">
        <f>G41</f>
        <v>0</v>
      </c>
      <c r="I6" s="7">
        <f>F41</f>
        <v>13</v>
      </c>
      <c r="J6" s="7">
        <f>F45</f>
        <v>13</v>
      </c>
      <c r="K6" s="7">
        <f>G45</f>
        <v>2</v>
      </c>
      <c r="L6" s="7">
        <f>G36</f>
        <v>1</v>
      </c>
      <c r="M6" s="11">
        <f>F36</f>
        <v>13</v>
      </c>
      <c r="N6" s="206"/>
      <c r="O6" s="224"/>
      <c r="P6" s="220"/>
    </row>
    <row r="7" spans="2:18" ht="24" customHeight="1" thickBot="1" x14ac:dyDescent="0.3">
      <c r="B7" s="132"/>
      <c r="C7" s="189"/>
      <c r="D7" s="190"/>
      <c r="E7" s="191"/>
      <c r="F7" s="104"/>
      <c r="G7" s="105"/>
      <c r="H7" s="222">
        <f>IF(H6&gt;I6,1,0)</f>
        <v>0</v>
      </c>
      <c r="I7" s="222"/>
      <c r="J7" s="222">
        <f>IF(J6&gt;K6,1,0)</f>
        <v>1</v>
      </c>
      <c r="K7" s="222"/>
      <c r="L7" s="222">
        <f>IF(L6&gt;M6,1,0)</f>
        <v>0</v>
      </c>
      <c r="M7" s="222"/>
      <c r="N7" s="207"/>
      <c r="O7" s="218"/>
      <c r="P7" s="221"/>
    </row>
    <row r="8" spans="2:18" ht="24" customHeight="1" x14ac:dyDescent="0.25">
      <c r="B8" s="164">
        <v>2</v>
      </c>
      <c r="C8" s="208" t="s">
        <v>182</v>
      </c>
      <c r="D8" s="209"/>
      <c r="E8" s="210"/>
      <c r="F8" s="91">
        <f>I4</f>
        <v>13</v>
      </c>
      <c r="G8" s="92">
        <f>H4</f>
        <v>4</v>
      </c>
      <c r="H8" s="8"/>
      <c r="I8" s="8"/>
      <c r="J8" s="92">
        <f>F25</f>
        <v>13</v>
      </c>
      <c r="K8" s="92">
        <f>G25</f>
        <v>6</v>
      </c>
      <c r="L8" s="92">
        <f>F32</f>
        <v>12</v>
      </c>
      <c r="M8" s="92">
        <f>G32</f>
        <v>13</v>
      </c>
      <c r="N8" s="192">
        <f>F9+J9+L9+F11+J11+L11</f>
        <v>4</v>
      </c>
      <c r="O8" s="225">
        <f>F8-G8+F10-G10+J8-K8+J10-K10+L8-M8+L10-M10</f>
        <v>36</v>
      </c>
      <c r="P8" s="227">
        <v>2</v>
      </c>
    </row>
    <row r="9" spans="2:18" ht="24" customHeight="1" x14ac:dyDescent="0.25">
      <c r="B9" s="182"/>
      <c r="C9" s="211"/>
      <c r="D9" s="212"/>
      <c r="E9" s="213"/>
      <c r="F9" s="230">
        <f>IF(F8&gt;G8,1,0)</f>
        <v>1</v>
      </c>
      <c r="G9" s="230"/>
      <c r="H9" s="107"/>
      <c r="I9" s="107"/>
      <c r="J9" s="230">
        <f>IF(J8&gt;K8,1,0)</f>
        <v>1</v>
      </c>
      <c r="K9" s="230"/>
      <c r="L9" s="230">
        <f>IF(L8&gt;M8,1,0)</f>
        <v>0</v>
      </c>
      <c r="M9" s="230"/>
      <c r="N9" s="193"/>
      <c r="O9" s="226"/>
      <c r="P9" s="228"/>
      <c r="R9" s="106">
        <f>F8+J8+L8+F10+J10+L10</f>
        <v>76</v>
      </c>
    </row>
    <row r="10" spans="2:18" ht="24" customHeight="1" x14ac:dyDescent="0.25">
      <c r="B10" s="182"/>
      <c r="C10" s="211"/>
      <c r="D10" s="212"/>
      <c r="E10" s="213"/>
      <c r="F10" s="91">
        <f>I6</f>
        <v>13</v>
      </c>
      <c r="G10" s="92">
        <f>H6</f>
        <v>0</v>
      </c>
      <c r="H10" s="8"/>
      <c r="I10" s="8"/>
      <c r="J10" s="92">
        <f>G37</f>
        <v>13</v>
      </c>
      <c r="K10" s="92">
        <f>F37</f>
        <v>4</v>
      </c>
      <c r="L10" s="92">
        <f>G44</f>
        <v>12</v>
      </c>
      <c r="M10" s="93">
        <f>F44</f>
        <v>13</v>
      </c>
      <c r="N10" s="193"/>
      <c r="O10" s="225"/>
      <c r="P10" s="228"/>
    </row>
    <row r="11" spans="2:18" ht="24" customHeight="1" thickBot="1" x14ac:dyDescent="0.3">
      <c r="B11" s="165"/>
      <c r="C11" s="214"/>
      <c r="D11" s="215"/>
      <c r="E11" s="216"/>
      <c r="F11" s="230">
        <f>IF(F10&gt;G10,1,0)</f>
        <v>1</v>
      </c>
      <c r="G11" s="230"/>
      <c r="H11" s="107"/>
      <c r="I11" s="107"/>
      <c r="J11" s="230">
        <f>IF(J10&gt;K10,1,0)</f>
        <v>1</v>
      </c>
      <c r="K11" s="230"/>
      <c r="L11" s="230">
        <f>IF(L10&gt;M10,1,0)</f>
        <v>0</v>
      </c>
      <c r="M11" s="230"/>
      <c r="N11" s="194"/>
      <c r="O11" s="226"/>
      <c r="P11" s="229"/>
    </row>
    <row r="12" spans="2:18" ht="24" customHeight="1" x14ac:dyDescent="0.25">
      <c r="B12" s="164">
        <v>3</v>
      </c>
      <c r="C12" s="183" t="s">
        <v>183</v>
      </c>
      <c r="D12" s="184"/>
      <c r="E12" s="185"/>
      <c r="F12" s="12">
        <f>K4</f>
        <v>4</v>
      </c>
      <c r="G12" s="7">
        <f>J4</f>
        <v>13</v>
      </c>
      <c r="H12" s="7">
        <f>K8</f>
        <v>6</v>
      </c>
      <c r="I12" s="7">
        <f>J8</f>
        <v>13</v>
      </c>
      <c r="J12" s="8"/>
      <c r="K12" s="8"/>
      <c r="L12" s="7">
        <f>G28</f>
        <v>6</v>
      </c>
      <c r="M12" s="11">
        <f>F28</f>
        <v>13</v>
      </c>
      <c r="N12" s="192">
        <f>F13+H13+L13+F15+H15+L15</f>
        <v>0</v>
      </c>
      <c r="O12" s="225">
        <f>F12-G12+F14-G14+H12-I12+H14-I14+L12-M14+L14-M12</f>
        <v>-52</v>
      </c>
      <c r="P12" s="227">
        <v>4</v>
      </c>
    </row>
    <row r="13" spans="2:18" ht="24" customHeight="1" x14ac:dyDescent="0.25">
      <c r="B13" s="182"/>
      <c r="C13" s="186"/>
      <c r="D13" s="187"/>
      <c r="E13" s="188"/>
      <c r="F13" s="231">
        <f>IF(F12&gt;G12,1,0)</f>
        <v>0</v>
      </c>
      <c r="G13" s="231"/>
      <c r="H13" s="231">
        <f>IF(H12&gt;I12,1,0)</f>
        <v>0</v>
      </c>
      <c r="I13" s="231"/>
      <c r="J13" s="105"/>
      <c r="K13" s="105"/>
      <c r="L13" s="231">
        <f>IF(L12&gt;M12,1,0)</f>
        <v>0</v>
      </c>
      <c r="M13" s="231"/>
      <c r="N13" s="193"/>
      <c r="O13" s="226"/>
      <c r="P13" s="228"/>
      <c r="R13" s="106">
        <f>F12+H12+L12+F14+H14+L14</f>
        <v>26</v>
      </c>
    </row>
    <row r="14" spans="2:18" ht="24" customHeight="1" x14ac:dyDescent="0.25">
      <c r="B14" s="182"/>
      <c r="C14" s="186"/>
      <c r="D14" s="187"/>
      <c r="E14" s="188"/>
      <c r="F14" s="12">
        <f>K6</f>
        <v>2</v>
      </c>
      <c r="G14" s="7">
        <f>J6</f>
        <v>13</v>
      </c>
      <c r="H14" s="7">
        <f>K10</f>
        <v>4</v>
      </c>
      <c r="I14" s="7">
        <f>J10</f>
        <v>13</v>
      </c>
      <c r="J14" s="8"/>
      <c r="K14" s="8"/>
      <c r="L14" s="7">
        <f>F40</f>
        <v>4</v>
      </c>
      <c r="M14" s="11">
        <f>G40</f>
        <v>13</v>
      </c>
      <c r="N14" s="193"/>
      <c r="O14" s="225"/>
      <c r="P14" s="228"/>
    </row>
    <row r="15" spans="2:18" ht="24" customHeight="1" thickBot="1" x14ac:dyDescent="0.3">
      <c r="B15" s="165"/>
      <c r="C15" s="189"/>
      <c r="D15" s="190"/>
      <c r="E15" s="191"/>
      <c r="F15" s="222">
        <f>IF(F14&gt;G14,1,0)</f>
        <v>0</v>
      </c>
      <c r="G15" s="222"/>
      <c r="H15" s="222">
        <f>IF(H14&gt;I14,1,0)</f>
        <v>0</v>
      </c>
      <c r="I15" s="222"/>
      <c r="J15" s="107"/>
      <c r="K15" s="107"/>
      <c r="L15" s="222">
        <f>IF(L14&gt;M14,1,0)</f>
        <v>0</v>
      </c>
      <c r="M15" s="222"/>
      <c r="N15" s="194"/>
      <c r="O15" s="226"/>
      <c r="P15" s="229"/>
    </row>
    <row r="16" spans="2:18" ht="24" customHeight="1" x14ac:dyDescent="0.25">
      <c r="B16" s="164">
        <v>4</v>
      </c>
      <c r="C16" s="195" t="s">
        <v>184</v>
      </c>
      <c r="D16" s="196"/>
      <c r="E16" s="197"/>
      <c r="F16" s="97">
        <f>M4</f>
        <v>12</v>
      </c>
      <c r="G16" s="98">
        <f>L4</f>
        <v>7</v>
      </c>
      <c r="H16" s="98">
        <f>M8</f>
        <v>13</v>
      </c>
      <c r="I16" s="98">
        <f>L8</f>
        <v>12</v>
      </c>
      <c r="J16" s="98">
        <f>M12</f>
        <v>13</v>
      </c>
      <c r="K16" s="98">
        <f>L12</f>
        <v>6</v>
      </c>
      <c r="L16" s="8" t="s">
        <v>24</v>
      </c>
      <c r="M16" s="34" t="s">
        <v>24</v>
      </c>
      <c r="N16" s="192">
        <f>F17+H17+J17+F19+H19+J19</f>
        <v>6</v>
      </c>
      <c r="O16" s="225">
        <f>F16-G16+F18-G18+H16-I16+H18-I18+J16-K16+J18-K18</f>
        <v>35</v>
      </c>
      <c r="P16" s="227">
        <v>1</v>
      </c>
    </row>
    <row r="17" spans="2:18" ht="24" customHeight="1" thickBot="1" x14ac:dyDescent="0.3">
      <c r="B17" s="182"/>
      <c r="C17" s="198"/>
      <c r="D17" s="199"/>
      <c r="E17" s="200"/>
      <c r="F17" s="234">
        <f>IF(F16&gt;G16,1,0)</f>
        <v>1</v>
      </c>
      <c r="G17" s="234"/>
      <c r="H17" s="234">
        <f>IF(H16&gt;I16,1,0)</f>
        <v>1</v>
      </c>
      <c r="I17" s="234"/>
      <c r="J17" s="234">
        <f>IF(J16&gt;K16,1,0)</f>
        <v>1</v>
      </c>
      <c r="K17" s="234"/>
      <c r="L17" s="105" t="s">
        <v>24</v>
      </c>
      <c r="M17" s="108" t="s">
        <v>24</v>
      </c>
      <c r="N17" s="193"/>
      <c r="O17" s="232"/>
      <c r="P17" s="228"/>
      <c r="R17" s="106">
        <f>F16+F18+H16+H18+J16+J18</f>
        <v>77</v>
      </c>
    </row>
    <row r="18" spans="2:18" ht="24" customHeight="1" x14ac:dyDescent="0.25">
      <c r="B18" s="182"/>
      <c r="C18" s="198"/>
      <c r="D18" s="199"/>
      <c r="E18" s="200"/>
      <c r="F18" s="97">
        <f>M6</f>
        <v>13</v>
      </c>
      <c r="G18" s="98">
        <f>L6</f>
        <v>1</v>
      </c>
      <c r="H18" s="98">
        <f>M10</f>
        <v>13</v>
      </c>
      <c r="I18" s="98">
        <f>L10</f>
        <v>12</v>
      </c>
      <c r="J18" s="98">
        <f>M14</f>
        <v>13</v>
      </c>
      <c r="K18" s="98">
        <f>L14</f>
        <v>4</v>
      </c>
      <c r="L18" s="8" t="s">
        <v>24</v>
      </c>
      <c r="M18" s="34" t="s">
        <v>24</v>
      </c>
      <c r="N18" s="193"/>
      <c r="O18" s="235"/>
      <c r="P18" s="228"/>
    </row>
    <row r="19" spans="2:18" ht="24" customHeight="1" thickBot="1" x14ac:dyDescent="0.3">
      <c r="B19" s="166"/>
      <c r="C19" s="201"/>
      <c r="D19" s="202"/>
      <c r="E19" s="203"/>
      <c r="F19" s="236">
        <f>IF(F18&gt;G18,1,0)</f>
        <v>1</v>
      </c>
      <c r="G19" s="236"/>
      <c r="H19" s="236">
        <f>IF(H18&gt;I18,1,0)</f>
        <v>1</v>
      </c>
      <c r="I19" s="236"/>
      <c r="J19" s="236">
        <f>IF(J18&gt;K18,1,0)</f>
        <v>1</v>
      </c>
      <c r="K19" s="236"/>
      <c r="L19" s="109" t="s">
        <v>24</v>
      </c>
      <c r="M19" s="110" t="s">
        <v>24</v>
      </c>
      <c r="N19" s="204"/>
      <c r="O19" s="232"/>
      <c r="P19" s="233"/>
    </row>
    <row r="23" spans="2:18" ht="30" customHeight="1" thickBot="1" x14ac:dyDescent="0.3">
      <c r="B23" s="147" t="s">
        <v>4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11"/>
    </row>
    <row r="24" spans="2:18" ht="30" customHeight="1" thickBot="1" x14ac:dyDescent="0.3">
      <c r="B24" s="5">
        <v>1</v>
      </c>
      <c r="C24" s="177" t="str">
        <f>$C$4</f>
        <v>Беляев Роман</v>
      </c>
      <c r="D24" s="177"/>
      <c r="E24" s="178"/>
      <c r="F24" s="24">
        <v>7</v>
      </c>
      <c r="G24" s="25">
        <v>12</v>
      </c>
      <c r="H24" s="181" t="str">
        <f>$C$16</f>
        <v>Ятченко Дмитрий</v>
      </c>
      <c r="I24" s="177"/>
      <c r="J24" s="177"/>
      <c r="K24" s="5">
        <v>4</v>
      </c>
      <c r="L24" s="27" t="s">
        <v>10</v>
      </c>
      <c r="M24" s="57">
        <v>1</v>
      </c>
    </row>
    <row r="25" spans="2:18" ht="30" customHeight="1" thickBot="1" x14ac:dyDescent="0.3">
      <c r="B25" s="5">
        <v>2</v>
      </c>
      <c r="C25" s="177" t="str">
        <f>$C$8</f>
        <v>Багазеев Иван</v>
      </c>
      <c r="D25" s="177"/>
      <c r="E25" s="178"/>
      <c r="F25" s="24">
        <v>13</v>
      </c>
      <c r="G25" s="25">
        <v>6</v>
      </c>
      <c r="H25" s="179" t="str">
        <f>$C$12</f>
        <v>Шилов Александр</v>
      </c>
      <c r="I25" s="180"/>
      <c r="J25" s="180"/>
      <c r="K25" s="5">
        <v>3</v>
      </c>
      <c r="L25" s="27" t="s">
        <v>10</v>
      </c>
      <c r="M25" s="57">
        <v>2</v>
      </c>
    </row>
    <row r="26" spans="2:18" ht="30" customHeight="1" x14ac:dyDescent="0.25"/>
    <row r="27" spans="2:18" ht="30" customHeight="1" thickBot="1" x14ac:dyDescent="0.3">
      <c r="B27" s="147" t="s">
        <v>5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</row>
    <row r="28" spans="2:18" ht="30" customHeight="1" thickBot="1" x14ac:dyDescent="0.3">
      <c r="B28" s="5">
        <v>4</v>
      </c>
      <c r="C28" s="177" t="str">
        <f>$C$16</f>
        <v>Ятченко Дмитрий</v>
      </c>
      <c r="D28" s="177"/>
      <c r="E28" s="178"/>
      <c r="F28" s="24">
        <v>13</v>
      </c>
      <c r="G28" s="25">
        <v>6</v>
      </c>
      <c r="H28" s="181" t="str">
        <f>$C$12</f>
        <v>Шилов Александр</v>
      </c>
      <c r="I28" s="177"/>
      <c r="J28" s="177"/>
      <c r="K28" s="5">
        <v>3</v>
      </c>
      <c r="L28" s="27" t="s">
        <v>10</v>
      </c>
      <c r="M28" s="57">
        <v>1</v>
      </c>
    </row>
    <row r="29" spans="2:18" ht="30" customHeight="1" thickBot="1" x14ac:dyDescent="0.3">
      <c r="B29" s="5">
        <v>1</v>
      </c>
      <c r="C29" s="177" t="str">
        <f>$C$4</f>
        <v>Беляев Роман</v>
      </c>
      <c r="D29" s="177"/>
      <c r="E29" s="178"/>
      <c r="F29" s="24">
        <v>4</v>
      </c>
      <c r="G29" s="25">
        <v>13</v>
      </c>
      <c r="H29" s="179" t="str">
        <f>$C$8</f>
        <v>Багазеев Иван</v>
      </c>
      <c r="I29" s="180"/>
      <c r="J29" s="180"/>
      <c r="K29" s="5">
        <v>2</v>
      </c>
      <c r="L29" s="27" t="s">
        <v>10</v>
      </c>
      <c r="M29" s="57">
        <v>2</v>
      </c>
    </row>
    <row r="30" spans="2:18" ht="30" customHeight="1" x14ac:dyDescent="0.25"/>
    <row r="31" spans="2:18" ht="30" customHeight="1" thickBot="1" x14ac:dyDescent="0.3">
      <c r="B31" s="147" t="s">
        <v>6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</row>
    <row r="32" spans="2:18" ht="30" customHeight="1" thickBot="1" x14ac:dyDescent="0.3">
      <c r="B32" s="5">
        <v>2</v>
      </c>
      <c r="C32" s="177" t="str">
        <f>$C$8</f>
        <v>Багазеев Иван</v>
      </c>
      <c r="D32" s="177"/>
      <c r="E32" s="178"/>
      <c r="F32" s="24">
        <v>12</v>
      </c>
      <c r="G32" s="25">
        <v>13</v>
      </c>
      <c r="H32" s="181" t="str">
        <f>$C$16</f>
        <v>Ятченко Дмитрий</v>
      </c>
      <c r="I32" s="177"/>
      <c r="J32" s="177"/>
      <c r="K32" s="5">
        <v>4</v>
      </c>
      <c r="L32" s="27" t="s">
        <v>10</v>
      </c>
      <c r="M32" s="57">
        <v>1</v>
      </c>
    </row>
    <row r="33" spans="2:13" ht="30" customHeight="1" thickBot="1" x14ac:dyDescent="0.3">
      <c r="B33" s="5">
        <v>3</v>
      </c>
      <c r="C33" s="177" t="str">
        <f>$C$12</f>
        <v>Шилов Александр</v>
      </c>
      <c r="D33" s="177"/>
      <c r="E33" s="178"/>
      <c r="F33" s="24">
        <v>4</v>
      </c>
      <c r="G33" s="25">
        <v>13</v>
      </c>
      <c r="H33" s="179" t="str">
        <f>$C$4</f>
        <v>Беляев Роман</v>
      </c>
      <c r="I33" s="180"/>
      <c r="J33" s="180"/>
      <c r="K33" s="5">
        <v>1</v>
      </c>
      <c r="L33" s="27" t="s">
        <v>10</v>
      </c>
      <c r="M33" s="57">
        <v>2</v>
      </c>
    </row>
    <row r="34" spans="2:13" ht="29.25" customHeight="1" x14ac:dyDescent="0.25"/>
    <row r="35" spans="2:13" ht="30" customHeight="1" thickBot="1" x14ac:dyDescent="0.3">
      <c r="B35" s="147" t="s">
        <v>7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</row>
    <row r="36" spans="2:13" ht="30" customHeight="1" thickBot="1" x14ac:dyDescent="0.3">
      <c r="B36" s="5">
        <v>4</v>
      </c>
      <c r="C36" s="177" t="str">
        <f>$C$16</f>
        <v>Ятченко Дмитрий</v>
      </c>
      <c r="D36" s="177"/>
      <c r="E36" s="178"/>
      <c r="F36" s="24">
        <v>13</v>
      </c>
      <c r="G36" s="25">
        <v>1</v>
      </c>
      <c r="H36" s="181" t="str">
        <f>$C$4</f>
        <v>Беляев Роман</v>
      </c>
      <c r="I36" s="177"/>
      <c r="J36" s="177"/>
      <c r="K36" s="5">
        <v>1</v>
      </c>
      <c r="L36" s="27" t="s">
        <v>10</v>
      </c>
      <c r="M36" s="57">
        <v>2</v>
      </c>
    </row>
    <row r="37" spans="2:13" ht="30" customHeight="1" thickBot="1" x14ac:dyDescent="0.3">
      <c r="B37" s="5">
        <v>3</v>
      </c>
      <c r="C37" s="177" t="str">
        <f>$C$12</f>
        <v>Шилов Александр</v>
      </c>
      <c r="D37" s="177"/>
      <c r="E37" s="178"/>
      <c r="F37" s="24">
        <v>4</v>
      </c>
      <c r="G37" s="25">
        <v>13</v>
      </c>
      <c r="H37" s="179" t="str">
        <f>$C$8</f>
        <v>Багазеев Иван</v>
      </c>
      <c r="I37" s="180"/>
      <c r="J37" s="180"/>
      <c r="K37" s="5">
        <v>2</v>
      </c>
      <c r="L37" s="27" t="s">
        <v>10</v>
      </c>
      <c r="M37" s="57">
        <v>1</v>
      </c>
    </row>
    <row r="38" spans="2:13" ht="30" customHeight="1" x14ac:dyDescent="0.25"/>
    <row r="39" spans="2:13" ht="30" customHeight="1" thickBot="1" x14ac:dyDescent="0.3"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  <c r="L39" s="147"/>
    </row>
    <row r="40" spans="2:13" ht="30" customHeight="1" thickBot="1" x14ac:dyDescent="0.3">
      <c r="B40" s="5">
        <v>3</v>
      </c>
      <c r="C40" s="177" t="str">
        <f>$C$12</f>
        <v>Шилов Александр</v>
      </c>
      <c r="D40" s="177"/>
      <c r="E40" s="178"/>
      <c r="F40" s="24">
        <v>4</v>
      </c>
      <c r="G40" s="25">
        <v>13</v>
      </c>
      <c r="H40" s="181" t="str">
        <f>$C$16</f>
        <v>Ятченко Дмитрий</v>
      </c>
      <c r="I40" s="177"/>
      <c r="J40" s="177"/>
      <c r="K40" s="5">
        <v>4</v>
      </c>
      <c r="L40" s="27" t="s">
        <v>10</v>
      </c>
      <c r="M40" s="57">
        <v>2</v>
      </c>
    </row>
    <row r="41" spans="2:13" ht="30" customHeight="1" thickBot="1" x14ac:dyDescent="0.3">
      <c r="B41" s="5">
        <v>2</v>
      </c>
      <c r="C41" s="177" t="str">
        <f>$C$8</f>
        <v>Багазеев Иван</v>
      </c>
      <c r="D41" s="177"/>
      <c r="E41" s="178"/>
      <c r="F41" s="24">
        <v>13</v>
      </c>
      <c r="G41" s="25">
        <v>0</v>
      </c>
      <c r="H41" s="179" t="str">
        <f>$C$4</f>
        <v>Беляев Роман</v>
      </c>
      <c r="I41" s="180"/>
      <c r="J41" s="180"/>
      <c r="K41" s="5">
        <v>1</v>
      </c>
      <c r="L41" s="27" t="s">
        <v>10</v>
      </c>
      <c r="M41" s="57">
        <v>1</v>
      </c>
    </row>
    <row r="42" spans="2:13" ht="30" customHeight="1" x14ac:dyDescent="0.25"/>
    <row r="43" spans="2:13" ht="30" customHeight="1" thickBot="1" x14ac:dyDescent="0.3">
      <c r="B43" s="147" t="s">
        <v>94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</row>
    <row r="44" spans="2:13" ht="30" customHeight="1" thickBot="1" x14ac:dyDescent="0.3">
      <c r="B44" s="5">
        <v>4</v>
      </c>
      <c r="C44" s="177" t="str">
        <f>$C$16</f>
        <v>Ятченко Дмитрий</v>
      </c>
      <c r="D44" s="177"/>
      <c r="E44" s="178"/>
      <c r="F44" s="24">
        <v>13</v>
      </c>
      <c r="G44" s="25">
        <v>12</v>
      </c>
      <c r="H44" s="181" t="str">
        <f>$C$8</f>
        <v>Багазеев Иван</v>
      </c>
      <c r="I44" s="177"/>
      <c r="J44" s="177"/>
      <c r="K44" s="5">
        <v>2</v>
      </c>
      <c r="L44" s="27" t="s">
        <v>10</v>
      </c>
      <c r="M44" s="57">
        <v>2</v>
      </c>
    </row>
    <row r="45" spans="2:13" ht="30" customHeight="1" thickBot="1" x14ac:dyDescent="0.3">
      <c r="B45" s="5">
        <v>1</v>
      </c>
      <c r="C45" s="177" t="str">
        <f>$C$4</f>
        <v>Беляев Роман</v>
      </c>
      <c r="D45" s="177"/>
      <c r="E45" s="178"/>
      <c r="F45" s="24">
        <v>13</v>
      </c>
      <c r="G45" s="25">
        <v>2</v>
      </c>
      <c r="H45" s="179" t="str">
        <f>$C$12</f>
        <v>Шилов Александр</v>
      </c>
      <c r="I45" s="180"/>
      <c r="J45" s="180"/>
      <c r="K45" s="5">
        <v>3</v>
      </c>
      <c r="L45" s="27" t="s">
        <v>10</v>
      </c>
      <c r="M45" s="57">
        <v>1</v>
      </c>
    </row>
  </sheetData>
  <mergeCells count="84">
    <mergeCell ref="C44:E44"/>
    <mergeCell ref="H44:J44"/>
    <mergeCell ref="C45:E45"/>
    <mergeCell ref="H45:J45"/>
    <mergeCell ref="B1:M1"/>
    <mergeCell ref="C33:E33"/>
    <mergeCell ref="H33:J33"/>
    <mergeCell ref="B35:L35"/>
    <mergeCell ref="B39:L39"/>
    <mergeCell ref="B43:L43"/>
    <mergeCell ref="F3:G3"/>
    <mergeCell ref="H3:I3"/>
    <mergeCell ref="J3:K3"/>
    <mergeCell ref="L3:M3"/>
    <mergeCell ref="C3:E3"/>
    <mergeCell ref="B4:B7"/>
    <mergeCell ref="O16:O17"/>
    <mergeCell ref="P16:P19"/>
    <mergeCell ref="F17:G17"/>
    <mergeCell ref="H17:I17"/>
    <mergeCell ref="J17:K17"/>
    <mergeCell ref="O18:O19"/>
    <mergeCell ref="F19:G19"/>
    <mergeCell ref="H19:I19"/>
    <mergeCell ref="J19:K19"/>
    <mergeCell ref="O12:O13"/>
    <mergeCell ref="P12:P15"/>
    <mergeCell ref="F13:G13"/>
    <mergeCell ref="H13:I13"/>
    <mergeCell ref="L13:M13"/>
    <mergeCell ref="O14:O15"/>
    <mergeCell ref="F15:G15"/>
    <mergeCell ref="H15:I15"/>
    <mergeCell ref="L15:M15"/>
    <mergeCell ref="O8:O9"/>
    <mergeCell ref="P8:P11"/>
    <mergeCell ref="F9:G9"/>
    <mergeCell ref="J9:K9"/>
    <mergeCell ref="L9:M9"/>
    <mergeCell ref="O10:O11"/>
    <mergeCell ref="F11:G11"/>
    <mergeCell ref="J11:K11"/>
    <mergeCell ref="L11:M11"/>
    <mergeCell ref="O4:O5"/>
    <mergeCell ref="P4:P7"/>
    <mergeCell ref="H5:I5"/>
    <mergeCell ref="J5:K5"/>
    <mergeCell ref="L5:M5"/>
    <mergeCell ref="O6:O7"/>
    <mergeCell ref="H7:I7"/>
    <mergeCell ref="J7:K7"/>
    <mergeCell ref="L7:M7"/>
    <mergeCell ref="C4:E7"/>
    <mergeCell ref="N4:N7"/>
    <mergeCell ref="B8:B11"/>
    <mergeCell ref="C8:E11"/>
    <mergeCell ref="N8:N11"/>
    <mergeCell ref="B12:B15"/>
    <mergeCell ref="C12:E15"/>
    <mergeCell ref="N12:N15"/>
    <mergeCell ref="B16:B19"/>
    <mergeCell ref="C25:E25"/>
    <mergeCell ref="H25:J25"/>
    <mergeCell ref="C16:E19"/>
    <mergeCell ref="B23:L23"/>
    <mergeCell ref="C24:E24"/>
    <mergeCell ref="H24:J24"/>
    <mergeCell ref="N16:N19"/>
    <mergeCell ref="B27:L27"/>
    <mergeCell ref="C28:E28"/>
    <mergeCell ref="H28:J28"/>
    <mergeCell ref="C29:E29"/>
    <mergeCell ref="H29:J29"/>
    <mergeCell ref="B31:L31"/>
    <mergeCell ref="C41:E41"/>
    <mergeCell ref="H41:J41"/>
    <mergeCell ref="C36:E36"/>
    <mergeCell ref="H36:J36"/>
    <mergeCell ref="C37:E37"/>
    <mergeCell ref="H37:J37"/>
    <mergeCell ref="C40:E40"/>
    <mergeCell ref="H40:J40"/>
    <mergeCell ref="C32:E32"/>
    <mergeCell ref="H32:J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Q22" sqref="Q22"/>
    </sheetView>
  </sheetViews>
  <sheetFormatPr defaultRowHeight="15" x14ac:dyDescent="0.25"/>
  <cols>
    <col min="1" max="1" width="4" style="30" customWidth="1"/>
    <col min="2" max="13" width="10.28515625" customWidth="1"/>
    <col min="14" max="14" width="22" customWidth="1"/>
    <col min="15" max="17" width="10.28515625" customWidth="1"/>
    <col min="18" max="18" width="10.28515625" hidden="1" customWidth="1"/>
    <col min="19" max="19" width="10.28515625" customWidth="1"/>
  </cols>
  <sheetData>
    <row r="1" spans="2:18" ht="59.25" customHeight="1" x14ac:dyDescent="0.25">
      <c r="B1" s="127" t="s">
        <v>191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12"/>
      <c r="O1" s="31" t="s">
        <v>30</v>
      </c>
      <c r="P1" s="31">
        <v>46046</v>
      </c>
    </row>
    <row r="2" spans="2:18" ht="15.75" thickBot="1" x14ac:dyDescent="0.3"/>
    <row r="3" spans="2:18" ht="30" customHeight="1" thickBot="1" x14ac:dyDescent="0.3">
      <c r="B3" s="90"/>
      <c r="C3" s="128" t="s">
        <v>186</v>
      </c>
      <c r="D3" s="129"/>
      <c r="E3" s="130"/>
      <c r="F3" s="237">
        <v>1</v>
      </c>
      <c r="G3" s="238"/>
      <c r="H3" s="237">
        <v>2</v>
      </c>
      <c r="I3" s="238"/>
      <c r="J3" s="237">
        <v>3</v>
      </c>
      <c r="K3" s="238"/>
      <c r="L3" s="237">
        <v>4</v>
      </c>
      <c r="M3" s="239"/>
      <c r="N3" s="90" t="s">
        <v>1</v>
      </c>
      <c r="O3" s="1" t="s">
        <v>180</v>
      </c>
      <c r="P3" s="21"/>
    </row>
    <row r="4" spans="2:18" ht="24" customHeight="1" x14ac:dyDescent="0.25">
      <c r="B4" s="131">
        <v>1</v>
      </c>
      <c r="C4" s="183" t="s">
        <v>187</v>
      </c>
      <c r="D4" s="184"/>
      <c r="E4" s="185"/>
      <c r="F4" s="10" t="s">
        <v>24</v>
      </c>
      <c r="G4" s="103"/>
      <c r="H4" s="6">
        <f>F29</f>
        <v>1</v>
      </c>
      <c r="I4" s="6">
        <f>G29</f>
        <v>13</v>
      </c>
      <c r="J4" s="6">
        <f>G33</f>
        <v>1</v>
      </c>
      <c r="K4" s="6">
        <f>F33</f>
        <v>13</v>
      </c>
      <c r="L4" s="6">
        <f>F24</f>
        <v>1</v>
      </c>
      <c r="M4" s="6">
        <f>G24</f>
        <v>13</v>
      </c>
      <c r="N4" s="205">
        <f>H5+J5+L5+L7+J7+H7</f>
        <v>0</v>
      </c>
      <c r="O4" s="217">
        <f>H4-I4+J4-K4+L4-M4+H6-I6+J6-K6+L6-M6</f>
        <v>-49</v>
      </c>
      <c r="P4" s="219">
        <v>4</v>
      </c>
    </row>
    <row r="5" spans="2:18" ht="24" customHeight="1" x14ac:dyDescent="0.25">
      <c r="B5" s="240"/>
      <c r="C5" s="186"/>
      <c r="D5" s="187"/>
      <c r="E5" s="188"/>
      <c r="F5" s="104" t="s">
        <v>24</v>
      </c>
      <c r="G5" s="105"/>
      <c r="H5" s="222">
        <f>IF(H4&gt;I4,1,0)</f>
        <v>0</v>
      </c>
      <c r="I5" s="222"/>
      <c r="J5" s="222">
        <f>IF(J4&gt;K4,1,0)</f>
        <v>0</v>
      </c>
      <c r="K5" s="222"/>
      <c r="L5" s="222">
        <f>IF(L4&gt;M4,1,0)</f>
        <v>0</v>
      </c>
      <c r="M5" s="223"/>
      <c r="N5" s="206"/>
      <c r="O5" s="218"/>
      <c r="P5" s="220"/>
      <c r="R5" s="106">
        <f>$H$5+$H$7+$J$5+$J$7+$L$5+$L$7</f>
        <v>0</v>
      </c>
    </row>
    <row r="6" spans="2:18" ht="24" customHeight="1" x14ac:dyDescent="0.25">
      <c r="B6" s="240"/>
      <c r="C6" s="186"/>
      <c r="D6" s="187"/>
      <c r="E6" s="188"/>
      <c r="F6" s="13"/>
      <c r="G6" s="14"/>
      <c r="H6" s="7">
        <f>G41</f>
        <v>8</v>
      </c>
      <c r="I6" s="7">
        <f>F41</f>
        <v>13</v>
      </c>
      <c r="J6" s="7">
        <f>F45</f>
        <v>9</v>
      </c>
      <c r="K6" s="7">
        <f>G45</f>
        <v>13</v>
      </c>
      <c r="L6" s="7">
        <f>G36</f>
        <v>9</v>
      </c>
      <c r="M6" s="11">
        <f>F36</f>
        <v>13</v>
      </c>
      <c r="N6" s="206"/>
      <c r="O6" s="224"/>
      <c r="P6" s="220"/>
    </row>
    <row r="7" spans="2:18" ht="24" customHeight="1" thickBot="1" x14ac:dyDescent="0.3">
      <c r="B7" s="132"/>
      <c r="C7" s="189"/>
      <c r="D7" s="190"/>
      <c r="E7" s="191"/>
      <c r="F7" s="104"/>
      <c r="G7" s="105"/>
      <c r="H7" s="222">
        <f>IF(H6&gt;I6,1,0)</f>
        <v>0</v>
      </c>
      <c r="I7" s="222"/>
      <c r="J7" s="222">
        <f>IF(J6&gt;K6,1,0)</f>
        <v>0</v>
      </c>
      <c r="K7" s="222"/>
      <c r="L7" s="222">
        <f>IF(L6&gt;M6,1,0)</f>
        <v>0</v>
      </c>
      <c r="M7" s="222"/>
      <c r="N7" s="207"/>
      <c r="O7" s="218"/>
      <c r="P7" s="221"/>
    </row>
    <row r="8" spans="2:18" ht="24" customHeight="1" x14ac:dyDescent="0.25">
      <c r="B8" s="164">
        <v>2</v>
      </c>
      <c r="C8" s="208" t="s">
        <v>188</v>
      </c>
      <c r="D8" s="209"/>
      <c r="E8" s="210"/>
      <c r="F8" s="91">
        <f>I4</f>
        <v>13</v>
      </c>
      <c r="G8" s="92">
        <f>H4</f>
        <v>1</v>
      </c>
      <c r="H8" s="8"/>
      <c r="I8" s="8"/>
      <c r="J8" s="92">
        <f>F25</f>
        <v>13</v>
      </c>
      <c r="K8" s="92">
        <f>G25</f>
        <v>8</v>
      </c>
      <c r="L8" s="92">
        <f>F32</f>
        <v>1</v>
      </c>
      <c r="M8" s="92">
        <f>G32</f>
        <v>13</v>
      </c>
      <c r="N8" s="192">
        <f>F9+J9+L9+F11+J11+L11</f>
        <v>4</v>
      </c>
      <c r="O8" s="225">
        <f>F8-G8+F10-G10+J8-K8+J10-K10+L8-M8+L10-M10</f>
        <v>6</v>
      </c>
      <c r="P8" s="227">
        <v>2</v>
      </c>
    </row>
    <row r="9" spans="2:18" ht="24" customHeight="1" x14ac:dyDescent="0.25">
      <c r="B9" s="182"/>
      <c r="C9" s="211"/>
      <c r="D9" s="212"/>
      <c r="E9" s="213"/>
      <c r="F9" s="230">
        <f>IF(F8&gt;G8,1,0)</f>
        <v>1</v>
      </c>
      <c r="G9" s="230"/>
      <c r="H9" s="107"/>
      <c r="I9" s="107"/>
      <c r="J9" s="230">
        <f>IF(J8&gt;K8,1,0)</f>
        <v>1</v>
      </c>
      <c r="K9" s="230"/>
      <c r="L9" s="230">
        <f>IF(L8&gt;M8,1,0)</f>
        <v>0</v>
      </c>
      <c r="M9" s="230"/>
      <c r="N9" s="193"/>
      <c r="O9" s="226"/>
      <c r="P9" s="228"/>
      <c r="R9">
        <f>F8+F10+J8+J10+L8+L10</f>
        <v>58</v>
      </c>
    </row>
    <row r="10" spans="2:18" ht="24" customHeight="1" x14ac:dyDescent="0.25">
      <c r="B10" s="182"/>
      <c r="C10" s="211"/>
      <c r="D10" s="212"/>
      <c r="E10" s="213"/>
      <c r="F10" s="91">
        <f>I6</f>
        <v>13</v>
      </c>
      <c r="G10" s="92">
        <f>H6</f>
        <v>8</v>
      </c>
      <c r="H10" s="8"/>
      <c r="I10" s="8"/>
      <c r="J10" s="92">
        <f>G37</f>
        <v>13</v>
      </c>
      <c r="K10" s="92">
        <f>F37</f>
        <v>9</v>
      </c>
      <c r="L10" s="92">
        <f>G44</f>
        <v>5</v>
      </c>
      <c r="M10" s="93">
        <f>F44</f>
        <v>13</v>
      </c>
      <c r="N10" s="193"/>
      <c r="O10" s="225"/>
      <c r="P10" s="228"/>
    </row>
    <row r="11" spans="2:18" ht="24" customHeight="1" thickBot="1" x14ac:dyDescent="0.3">
      <c r="B11" s="165"/>
      <c r="C11" s="214"/>
      <c r="D11" s="215"/>
      <c r="E11" s="216"/>
      <c r="F11" s="230">
        <f>IF(F10&gt;G10,1,0)</f>
        <v>1</v>
      </c>
      <c r="G11" s="230"/>
      <c r="H11" s="107"/>
      <c r="I11" s="107"/>
      <c r="J11" s="230">
        <f>IF(J10&gt;K10,1,0)</f>
        <v>1</v>
      </c>
      <c r="K11" s="230"/>
      <c r="L11" s="230">
        <f>IF(L10&gt;M10,1,0)</f>
        <v>0</v>
      </c>
      <c r="M11" s="230"/>
      <c r="N11" s="194"/>
      <c r="O11" s="226"/>
      <c r="P11" s="229"/>
    </row>
    <row r="12" spans="2:18" ht="24" customHeight="1" x14ac:dyDescent="0.25">
      <c r="B12" s="164">
        <v>3</v>
      </c>
      <c r="C12" s="183" t="s">
        <v>189</v>
      </c>
      <c r="D12" s="184"/>
      <c r="E12" s="185"/>
      <c r="F12" s="12">
        <f>K4</f>
        <v>13</v>
      </c>
      <c r="G12" s="7">
        <f>J4</f>
        <v>1</v>
      </c>
      <c r="H12" s="7">
        <f>K8</f>
        <v>8</v>
      </c>
      <c r="I12" s="7">
        <f>J8</f>
        <v>13</v>
      </c>
      <c r="J12" s="8"/>
      <c r="K12" s="8"/>
      <c r="L12" s="7">
        <f>G28</f>
        <v>7</v>
      </c>
      <c r="M12" s="11">
        <f>F28</f>
        <v>13</v>
      </c>
      <c r="N12" s="192">
        <f>F13+H13+L13+F15+H15+L15</f>
        <v>2</v>
      </c>
      <c r="O12" s="225">
        <f>F12-G12+F14-G14+H12-I12+H14-I14+L12-M14+L14-M12</f>
        <v>-6</v>
      </c>
      <c r="P12" s="227">
        <v>3</v>
      </c>
    </row>
    <row r="13" spans="2:18" ht="24" customHeight="1" x14ac:dyDescent="0.25">
      <c r="B13" s="182"/>
      <c r="C13" s="186"/>
      <c r="D13" s="187"/>
      <c r="E13" s="188"/>
      <c r="F13" s="231">
        <f>IF(F12&gt;G12,1,0)</f>
        <v>1</v>
      </c>
      <c r="G13" s="231"/>
      <c r="H13" s="231">
        <f>IF(H12&gt;I12,1,0)</f>
        <v>0</v>
      </c>
      <c r="I13" s="231"/>
      <c r="J13" s="105"/>
      <c r="K13" s="105"/>
      <c r="L13" s="231">
        <f>IF(L12&gt;M12,1,0)</f>
        <v>0</v>
      </c>
      <c r="M13" s="231"/>
      <c r="N13" s="193"/>
      <c r="O13" s="226"/>
      <c r="P13" s="228"/>
    </row>
    <row r="14" spans="2:18" ht="24" customHeight="1" x14ac:dyDescent="0.25">
      <c r="B14" s="182"/>
      <c r="C14" s="186"/>
      <c r="D14" s="187"/>
      <c r="E14" s="188"/>
      <c r="F14" s="12">
        <f>K6</f>
        <v>13</v>
      </c>
      <c r="G14" s="7">
        <f>J6</f>
        <v>9</v>
      </c>
      <c r="H14" s="7">
        <f>K10</f>
        <v>9</v>
      </c>
      <c r="I14" s="7">
        <f>J10</f>
        <v>13</v>
      </c>
      <c r="J14" s="8"/>
      <c r="K14" s="8"/>
      <c r="L14" s="7">
        <f>F40</f>
        <v>6</v>
      </c>
      <c r="M14" s="11">
        <f>G40</f>
        <v>13</v>
      </c>
      <c r="N14" s="193"/>
      <c r="O14" s="225"/>
      <c r="P14" s="228"/>
    </row>
    <row r="15" spans="2:18" ht="24" customHeight="1" thickBot="1" x14ac:dyDescent="0.3">
      <c r="B15" s="165"/>
      <c r="C15" s="189"/>
      <c r="D15" s="190"/>
      <c r="E15" s="191"/>
      <c r="F15" s="222">
        <f>IF(F14&gt;G14,1,0)</f>
        <v>1</v>
      </c>
      <c r="G15" s="222"/>
      <c r="H15" s="222">
        <f>IF(H14&gt;I14,1,0)</f>
        <v>0</v>
      </c>
      <c r="I15" s="222"/>
      <c r="J15" s="107"/>
      <c r="K15" s="107"/>
      <c r="L15" s="222">
        <f>IF(L14&gt;M14,1,0)</f>
        <v>0</v>
      </c>
      <c r="M15" s="222"/>
      <c r="N15" s="194"/>
      <c r="O15" s="226"/>
      <c r="P15" s="229"/>
    </row>
    <row r="16" spans="2:18" ht="24" customHeight="1" x14ac:dyDescent="0.25">
      <c r="B16" s="164">
        <v>4</v>
      </c>
      <c r="C16" s="195" t="s">
        <v>190</v>
      </c>
      <c r="D16" s="196"/>
      <c r="E16" s="197"/>
      <c r="F16" s="97">
        <f>M4</f>
        <v>13</v>
      </c>
      <c r="G16" s="98">
        <f>L4</f>
        <v>1</v>
      </c>
      <c r="H16" s="98">
        <f>M8</f>
        <v>13</v>
      </c>
      <c r="I16" s="98">
        <f>L8</f>
        <v>1</v>
      </c>
      <c r="J16" s="98">
        <f>M12</f>
        <v>13</v>
      </c>
      <c r="K16" s="98">
        <f>L12</f>
        <v>7</v>
      </c>
      <c r="L16" s="8" t="s">
        <v>24</v>
      </c>
      <c r="M16" s="34" t="s">
        <v>24</v>
      </c>
      <c r="N16" s="192">
        <f>F17+H17+J17+F19+H19+J19</f>
        <v>6</v>
      </c>
      <c r="O16" s="225">
        <f>F16-G16+F18-G18+H16-I16+H18-I18+J16-K16+J18-K18</f>
        <v>49</v>
      </c>
      <c r="P16" s="227">
        <v>1</v>
      </c>
    </row>
    <row r="17" spans="2:18" ht="24" customHeight="1" thickBot="1" x14ac:dyDescent="0.3">
      <c r="B17" s="182"/>
      <c r="C17" s="198"/>
      <c r="D17" s="199"/>
      <c r="E17" s="200"/>
      <c r="F17" s="234">
        <f>IF(F16&gt;G16,1,0)</f>
        <v>1</v>
      </c>
      <c r="G17" s="234"/>
      <c r="H17" s="234">
        <f>IF(H16&gt;I16,1,0)</f>
        <v>1</v>
      </c>
      <c r="I17" s="234"/>
      <c r="J17" s="234">
        <f>IF(J16&gt;K16,1,0)</f>
        <v>1</v>
      </c>
      <c r="K17" s="234"/>
      <c r="L17" s="105" t="s">
        <v>24</v>
      </c>
      <c r="M17" s="108" t="s">
        <v>24</v>
      </c>
      <c r="N17" s="193"/>
      <c r="O17" s="232"/>
      <c r="P17" s="228"/>
      <c r="R17">
        <f>F16+F18+H16+H18+J16+J18</f>
        <v>78</v>
      </c>
    </row>
    <row r="18" spans="2:18" ht="24" customHeight="1" x14ac:dyDescent="0.25">
      <c r="B18" s="182"/>
      <c r="C18" s="198"/>
      <c r="D18" s="199"/>
      <c r="E18" s="200"/>
      <c r="F18" s="97">
        <f>M6</f>
        <v>13</v>
      </c>
      <c r="G18" s="98">
        <f>L6</f>
        <v>9</v>
      </c>
      <c r="H18" s="98">
        <f>M10</f>
        <v>13</v>
      </c>
      <c r="I18" s="98">
        <f>L10</f>
        <v>5</v>
      </c>
      <c r="J18" s="98">
        <f>M14</f>
        <v>13</v>
      </c>
      <c r="K18" s="98">
        <f>L14</f>
        <v>6</v>
      </c>
      <c r="L18" s="8" t="s">
        <v>24</v>
      </c>
      <c r="M18" s="34" t="s">
        <v>24</v>
      </c>
      <c r="N18" s="193"/>
      <c r="O18" s="235"/>
      <c r="P18" s="228"/>
    </row>
    <row r="19" spans="2:18" ht="24" customHeight="1" thickBot="1" x14ac:dyDescent="0.3">
      <c r="B19" s="166"/>
      <c r="C19" s="241"/>
      <c r="D19" s="242"/>
      <c r="E19" s="243"/>
      <c r="F19" s="236">
        <f>IF(F18&gt;G18,1,0)</f>
        <v>1</v>
      </c>
      <c r="G19" s="236"/>
      <c r="H19" s="236">
        <f>IF(H18&gt;I18,1,0)</f>
        <v>1</v>
      </c>
      <c r="I19" s="236"/>
      <c r="J19" s="236">
        <f>IF(J18&gt;K18,1,0)</f>
        <v>1</v>
      </c>
      <c r="K19" s="236"/>
      <c r="L19" s="109" t="s">
        <v>24</v>
      </c>
      <c r="M19" s="110" t="s">
        <v>24</v>
      </c>
      <c r="N19" s="204"/>
      <c r="O19" s="232"/>
      <c r="P19" s="233"/>
    </row>
    <row r="23" spans="2:18" ht="30" customHeight="1" thickBot="1" x14ac:dyDescent="0.3">
      <c r="B23" s="147" t="s">
        <v>4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11"/>
    </row>
    <row r="24" spans="2:18" ht="30" customHeight="1" thickBot="1" x14ac:dyDescent="0.3">
      <c r="B24" s="5">
        <v>1</v>
      </c>
      <c r="C24" s="177" t="str">
        <f>$C$4</f>
        <v>Еремин Валерий</v>
      </c>
      <c r="D24" s="177"/>
      <c r="E24" s="178"/>
      <c r="F24" s="24">
        <v>1</v>
      </c>
      <c r="G24" s="25">
        <v>13</v>
      </c>
      <c r="H24" s="181" t="str">
        <f>$C$16</f>
        <v>Хмылев Юрий</v>
      </c>
      <c r="I24" s="177"/>
      <c r="J24" s="177"/>
      <c r="K24" s="5">
        <v>4</v>
      </c>
      <c r="L24" s="27" t="s">
        <v>10</v>
      </c>
      <c r="M24" s="57">
        <v>1</v>
      </c>
    </row>
    <row r="25" spans="2:18" ht="30" customHeight="1" thickBot="1" x14ac:dyDescent="0.3">
      <c r="B25" s="5">
        <v>2</v>
      </c>
      <c r="C25" s="177" t="str">
        <f>$C$8</f>
        <v>Бобков Василий</v>
      </c>
      <c r="D25" s="177"/>
      <c r="E25" s="178"/>
      <c r="F25" s="24">
        <v>13</v>
      </c>
      <c r="G25" s="25">
        <v>8</v>
      </c>
      <c r="H25" s="179" t="str">
        <f>$C$12</f>
        <v>Андреев Юрий</v>
      </c>
      <c r="I25" s="180"/>
      <c r="J25" s="180"/>
      <c r="K25" s="5">
        <v>3</v>
      </c>
      <c r="L25" s="27" t="s">
        <v>10</v>
      </c>
      <c r="M25" s="57">
        <v>2</v>
      </c>
    </row>
    <row r="26" spans="2:18" ht="30" customHeight="1" x14ac:dyDescent="0.25"/>
    <row r="27" spans="2:18" ht="30" customHeight="1" thickBot="1" x14ac:dyDescent="0.3">
      <c r="B27" s="147" t="s">
        <v>5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</row>
    <row r="28" spans="2:18" ht="30" customHeight="1" thickBot="1" x14ac:dyDescent="0.3">
      <c r="B28" s="5">
        <v>4</v>
      </c>
      <c r="C28" s="177" t="str">
        <f>$C$16</f>
        <v>Хмылев Юрий</v>
      </c>
      <c r="D28" s="177"/>
      <c r="E28" s="178"/>
      <c r="F28" s="24">
        <v>13</v>
      </c>
      <c r="G28" s="25">
        <v>7</v>
      </c>
      <c r="H28" s="181" t="str">
        <f>$C$12</f>
        <v>Андреев Юрий</v>
      </c>
      <c r="I28" s="177"/>
      <c r="J28" s="177"/>
      <c r="K28" s="5">
        <v>3</v>
      </c>
      <c r="L28" s="27" t="s">
        <v>10</v>
      </c>
      <c r="M28" s="57">
        <v>1</v>
      </c>
    </row>
    <row r="29" spans="2:18" ht="30" customHeight="1" thickBot="1" x14ac:dyDescent="0.3">
      <c r="B29" s="5">
        <v>1</v>
      </c>
      <c r="C29" s="177" t="str">
        <f>$C$4</f>
        <v>Еремин Валерий</v>
      </c>
      <c r="D29" s="177"/>
      <c r="E29" s="178"/>
      <c r="F29" s="24">
        <v>1</v>
      </c>
      <c r="G29" s="25">
        <v>13</v>
      </c>
      <c r="H29" s="179" t="str">
        <f>$C$8</f>
        <v>Бобков Василий</v>
      </c>
      <c r="I29" s="180"/>
      <c r="J29" s="180"/>
      <c r="K29" s="5">
        <v>2</v>
      </c>
      <c r="L29" s="27" t="s">
        <v>10</v>
      </c>
      <c r="M29" s="57">
        <v>2</v>
      </c>
    </row>
    <row r="30" spans="2:18" ht="30" customHeight="1" x14ac:dyDescent="0.25"/>
    <row r="31" spans="2:18" ht="30" customHeight="1" thickBot="1" x14ac:dyDescent="0.3">
      <c r="B31" s="147" t="s">
        <v>6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</row>
    <row r="32" spans="2:18" ht="30" customHeight="1" thickBot="1" x14ac:dyDescent="0.3">
      <c r="B32" s="5">
        <v>2</v>
      </c>
      <c r="C32" s="177" t="str">
        <f>$C$8</f>
        <v>Бобков Василий</v>
      </c>
      <c r="D32" s="177"/>
      <c r="E32" s="178"/>
      <c r="F32" s="24">
        <v>1</v>
      </c>
      <c r="G32" s="25">
        <v>13</v>
      </c>
      <c r="H32" s="181" t="str">
        <f>$C$16</f>
        <v>Хмылев Юрий</v>
      </c>
      <c r="I32" s="177"/>
      <c r="J32" s="177"/>
      <c r="K32" s="5">
        <v>4</v>
      </c>
      <c r="L32" s="27" t="s">
        <v>10</v>
      </c>
      <c r="M32" s="57">
        <v>1</v>
      </c>
    </row>
    <row r="33" spans="2:13" ht="30" customHeight="1" thickBot="1" x14ac:dyDescent="0.3">
      <c r="B33" s="5">
        <v>3</v>
      </c>
      <c r="C33" s="177" t="str">
        <f>$C$12</f>
        <v>Андреев Юрий</v>
      </c>
      <c r="D33" s="177"/>
      <c r="E33" s="178"/>
      <c r="F33" s="24">
        <v>13</v>
      </c>
      <c r="G33" s="25">
        <v>1</v>
      </c>
      <c r="H33" s="179" t="str">
        <f>$C$4</f>
        <v>Еремин Валерий</v>
      </c>
      <c r="I33" s="180"/>
      <c r="J33" s="180"/>
      <c r="K33" s="5">
        <v>1</v>
      </c>
      <c r="L33" s="27" t="s">
        <v>10</v>
      </c>
      <c r="M33" s="57">
        <v>2</v>
      </c>
    </row>
    <row r="34" spans="2:13" ht="29.25" customHeight="1" x14ac:dyDescent="0.25"/>
    <row r="35" spans="2:13" ht="30" customHeight="1" thickBot="1" x14ac:dyDescent="0.3">
      <c r="B35" s="147" t="s">
        <v>7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</row>
    <row r="36" spans="2:13" ht="30" customHeight="1" thickBot="1" x14ac:dyDescent="0.3">
      <c r="B36" s="5">
        <v>4</v>
      </c>
      <c r="C36" s="177" t="str">
        <f>$C$16</f>
        <v>Хмылев Юрий</v>
      </c>
      <c r="D36" s="177"/>
      <c r="E36" s="178"/>
      <c r="F36" s="24">
        <v>13</v>
      </c>
      <c r="G36" s="25">
        <v>9</v>
      </c>
      <c r="H36" s="181" t="str">
        <f>$C$4</f>
        <v>Еремин Валерий</v>
      </c>
      <c r="I36" s="177"/>
      <c r="J36" s="177"/>
      <c r="K36" s="5">
        <v>1</v>
      </c>
      <c r="L36" s="27" t="s">
        <v>10</v>
      </c>
      <c r="M36" s="57">
        <v>2</v>
      </c>
    </row>
    <row r="37" spans="2:13" ht="30" customHeight="1" thickBot="1" x14ac:dyDescent="0.3">
      <c r="B37" s="5">
        <v>3</v>
      </c>
      <c r="C37" s="177" t="str">
        <f>$C$12</f>
        <v>Андреев Юрий</v>
      </c>
      <c r="D37" s="177"/>
      <c r="E37" s="178"/>
      <c r="F37" s="24">
        <v>9</v>
      </c>
      <c r="G37" s="25">
        <v>13</v>
      </c>
      <c r="H37" s="179" t="str">
        <f>$C$8</f>
        <v>Бобков Василий</v>
      </c>
      <c r="I37" s="180"/>
      <c r="J37" s="180"/>
      <c r="K37" s="5">
        <v>2</v>
      </c>
      <c r="L37" s="27" t="s">
        <v>10</v>
      </c>
      <c r="M37" s="57">
        <v>1</v>
      </c>
    </row>
    <row r="38" spans="2:13" ht="30" customHeight="1" x14ac:dyDescent="0.25"/>
    <row r="39" spans="2:13" ht="30" customHeight="1" thickBot="1" x14ac:dyDescent="0.3"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  <c r="L39" s="147"/>
    </row>
    <row r="40" spans="2:13" ht="30" customHeight="1" thickBot="1" x14ac:dyDescent="0.3">
      <c r="B40" s="5">
        <v>3</v>
      </c>
      <c r="C40" s="177" t="str">
        <f>$C$12</f>
        <v>Андреев Юрий</v>
      </c>
      <c r="D40" s="177"/>
      <c r="E40" s="178"/>
      <c r="F40" s="24">
        <v>6</v>
      </c>
      <c r="G40" s="25">
        <v>13</v>
      </c>
      <c r="H40" s="181" t="str">
        <f>$C$16</f>
        <v>Хмылев Юрий</v>
      </c>
      <c r="I40" s="177"/>
      <c r="J40" s="177"/>
      <c r="K40" s="5">
        <v>4</v>
      </c>
      <c r="L40" s="27" t="s">
        <v>10</v>
      </c>
      <c r="M40" s="57">
        <v>2</v>
      </c>
    </row>
    <row r="41" spans="2:13" ht="30" customHeight="1" thickBot="1" x14ac:dyDescent="0.3">
      <c r="B41" s="5">
        <v>2</v>
      </c>
      <c r="C41" s="177" t="str">
        <f>$C$8</f>
        <v>Бобков Василий</v>
      </c>
      <c r="D41" s="177"/>
      <c r="E41" s="178"/>
      <c r="F41" s="24">
        <v>13</v>
      </c>
      <c r="G41" s="25">
        <v>8</v>
      </c>
      <c r="H41" s="179" t="str">
        <f>$C$4</f>
        <v>Еремин Валерий</v>
      </c>
      <c r="I41" s="180"/>
      <c r="J41" s="180"/>
      <c r="K41" s="5">
        <v>1</v>
      </c>
      <c r="L41" s="27" t="s">
        <v>10</v>
      </c>
      <c r="M41" s="57">
        <v>1</v>
      </c>
    </row>
    <row r="42" spans="2:13" ht="30" customHeight="1" x14ac:dyDescent="0.25"/>
    <row r="43" spans="2:13" ht="30" customHeight="1" thickBot="1" x14ac:dyDescent="0.3">
      <c r="B43" s="147" t="s">
        <v>94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</row>
    <row r="44" spans="2:13" ht="30" customHeight="1" thickBot="1" x14ac:dyDescent="0.3">
      <c r="B44" s="5">
        <v>4</v>
      </c>
      <c r="C44" s="177" t="str">
        <f>$C$16</f>
        <v>Хмылев Юрий</v>
      </c>
      <c r="D44" s="177"/>
      <c r="E44" s="178"/>
      <c r="F44" s="24">
        <v>13</v>
      </c>
      <c r="G44" s="25">
        <v>5</v>
      </c>
      <c r="H44" s="181" t="str">
        <f>$C$8</f>
        <v>Бобков Василий</v>
      </c>
      <c r="I44" s="177"/>
      <c r="J44" s="177"/>
      <c r="K44" s="5">
        <v>2</v>
      </c>
      <c r="L44" s="27" t="s">
        <v>10</v>
      </c>
      <c r="M44" s="57">
        <v>2</v>
      </c>
    </row>
    <row r="45" spans="2:13" ht="30" customHeight="1" thickBot="1" x14ac:dyDescent="0.3">
      <c r="B45" s="5">
        <v>1</v>
      </c>
      <c r="C45" s="177" t="str">
        <f>$C$4</f>
        <v>Еремин Валерий</v>
      </c>
      <c r="D45" s="177"/>
      <c r="E45" s="178"/>
      <c r="F45" s="24">
        <v>9</v>
      </c>
      <c r="G45" s="25">
        <v>13</v>
      </c>
      <c r="H45" s="179" t="str">
        <f>$C$12</f>
        <v>Андреев Юрий</v>
      </c>
      <c r="I45" s="180"/>
      <c r="J45" s="180"/>
      <c r="K45" s="5">
        <v>3</v>
      </c>
      <c r="L45" s="27" t="s">
        <v>10</v>
      </c>
      <c r="M45" s="57">
        <v>1</v>
      </c>
    </row>
  </sheetData>
  <mergeCells count="84">
    <mergeCell ref="C44:E44"/>
    <mergeCell ref="H44:J44"/>
    <mergeCell ref="C45:E45"/>
    <mergeCell ref="H45:J45"/>
    <mergeCell ref="B1:M1"/>
    <mergeCell ref="B39:L39"/>
    <mergeCell ref="C40:E40"/>
    <mergeCell ref="H40:J40"/>
    <mergeCell ref="C41:E41"/>
    <mergeCell ref="H41:J41"/>
    <mergeCell ref="B43:L43"/>
    <mergeCell ref="C33:E33"/>
    <mergeCell ref="H33:J33"/>
    <mergeCell ref="B35:L35"/>
    <mergeCell ref="C36:E36"/>
    <mergeCell ref="H36:J36"/>
    <mergeCell ref="C37:E37"/>
    <mergeCell ref="H37:J37"/>
    <mergeCell ref="C28:E28"/>
    <mergeCell ref="H28:J28"/>
    <mergeCell ref="C29:E29"/>
    <mergeCell ref="H29:J29"/>
    <mergeCell ref="B31:L31"/>
    <mergeCell ref="C32:E32"/>
    <mergeCell ref="H32:J32"/>
    <mergeCell ref="B27:L27"/>
    <mergeCell ref="P16:P19"/>
    <mergeCell ref="F17:G17"/>
    <mergeCell ref="H17:I17"/>
    <mergeCell ref="J17:K17"/>
    <mergeCell ref="O18:O19"/>
    <mergeCell ref="F19:G19"/>
    <mergeCell ref="H19:I19"/>
    <mergeCell ref="J19:K19"/>
    <mergeCell ref="O16:O17"/>
    <mergeCell ref="B23:L23"/>
    <mergeCell ref="C24:E24"/>
    <mergeCell ref="H24:J24"/>
    <mergeCell ref="C25:E25"/>
    <mergeCell ref="H25:J25"/>
    <mergeCell ref="B16:B19"/>
    <mergeCell ref="C16:E19"/>
    <mergeCell ref="N16:N19"/>
    <mergeCell ref="B12:B15"/>
    <mergeCell ref="C12:E15"/>
    <mergeCell ref="N12:N15"/>
    <mergeCell ref="O12:O13"/>
    <mergeCell ref="P12:P15"/>
    <mergeCell ref="F13:G13"/>
    <mergeCell ref="H13:I13"/>
    <mergeCell ref="L13:M13"/>
    <mergeCell ref="O14:O15"/>
    <mergeCell ref="F15:G15"/>
    <mergeCell ref="H15:I15"/>
    <mergeCell ref="L15:M15"/>
    <mergeCell ref="P8:P11"/>
    <mergeCell ref="F9:G9"/>
    <mergeCell ref="J9:K9"/>
    <mergeCell ref="L9:M9"/>
    <mergeCell ref="O10:O11"/>
    <mergeCell ref="F11:G11"/>
    <mergeCell ref="J11:K11"/>
    <mergeCell ref="L11:M11"/>
    <mergeCell ref="O8:O9"/>
    <mergeCell ref="B8:B11"/>
    <mergeCell ref="C8:E11"/>
    <mergeCell ref="N8:N11"/>
    <mergeCell ref="B4:B7"/>
    <mergeCell ref="C4:E7"/>
    <mergeCell ref="N4:N7"/>
    <mergeCell ref="O4:O5"/>
    <mergeCell ref="P4:P7"/>
    <mergeCell ref="H5:I5"/>
    <mergeCell ref="J5:K5"/>
    <mergeCell ref="L5:M5"/>
    <mergeCell ref="O6:O7"/>
    <mergeCell ref="H7:I7"/>
    <mergeCell ref="J7:K7"/>
    <mergeCell ref="L7:M7"/>
    <mergeCell ref="C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P15" sqref="P1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38.25" customHeight="1" x14ac:dyDescent="0.25">
      <c r="B1" s="127" t="s">
        <v>26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18</v>
      </c>
      <c r="M1"/>
      <c r="N1" s="31">
        <v>46032</v>
      </c>
    </row>
    <row r="2" spans="2:14" ht="15.75" thickBot="1" x14ac:dyDescent="0.3">
      <c r="M2"/>
    </row>
    <row r="3" spans="2:14" ht="30" customHeight="1" thickBot="1" x14ac:dyDescent="0.3">
      <c r="B3" s="33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31">
        <v>1</v>
      </c>
      <c r="C4" s="133" t="s">
        <v>56</v>
      </c>
      <c r="D4" s="134"/>
      <c r="E4" s="135"/>
      <c r="F4" s="10" t="s">
        <v>24</v>
      </c>
      <c r="G4" s="6" t="str">
        <f ca="1">INDIRECT(ADDRESS(27,6))&amp;":"&amp;INDIRECT(ADDRESS(27,7))</f>
        <v>13:10</v>
      </c>
      <c r="H4" s="6" t="str">
        <f ca="1">INDIRECT(ADDRESS(31,7))&amp;":"&amp;INDIRECT(ADDRESS(31,6))</f>
        <v>13:11</v>
      </c>
      <c r="I4" s="6" t="str">
        <f ca="1">INDIRECT(ADDRESS(36,6))&amp;":"&amp;INDIRECT(ADDRESS(36,7))</f>
        <v>13:6</v>
      </c>
      <c r="J4" s="6" t="str">
        <f ca="1">INDIRECT(ADDRESS(42,7))&amp;":"&amp;INDIRECT(ADDRESS(42,6))</f>
        <v>13:6</v>
      </c>
      <c r="K4" s="20" t="str">
        <f ca="1">INDIRECT(ADDRESS(20,6))&amp;":"&amp;INDIRECT(ADDRESS(20,7))</f>
        <v>13:2</v>
      </c>
      <c r="L4" s="244">
        <f ca="1">IF(COUNT(F5:K5)=0,"",COUNTIF(F5:K5,"&gt;0")+0.5*COUNTIF(F5:K5,0))</f>
        <v>5</v>
      </c>
      <c r="M4" s="23"/>
      <c r="N4" s="219">
        <v>1</v>
      </c>
    </row>
    <row r="5" spans="2:14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COLUMN())))=1,"",INDIRECT(ADDRESS(27,6))-INDIRECT(ADDRESS(27,7)))</f>
        <v>3</v>
      </c>
      <c r="H5" s="16">
        <f ca="1">IF(LEN(INDIRECT(ADDRESS(ROW()-1, COLUMN())))=1,"",INDIRECT(ADDRESS(31,7))-INDIRECT(ADDRESS(31,6)))</f>
        <v>2</v>
      </c>
      <c r="I5" s="16">
        <f ca="1">IF(LEN(INDIRECT(ADDRESS(ROW()-1, COLUMN())))=1,"",INDIRECT(ADDRESS(36,6))-INDIRECT(ADDRESS(36,7)))</f>
        <v>7</v>
      </c>
      <c r="J5" s="16">
        <f ca="1">IF(LEN(INDIRECT(ADDRESS(ROW()-1, COLUMN())))=1,"",INDIRECT(ADDRESS(42,7))-INDIRECT(ADDRESS(42,6)))</f>
        <v>7</v>
      </c>
      <c r="K5" s="17">
        <f ca="1">IF(LEN(INDIRECT(ADDRESS(ROW()-1, COLUMN())))=1,"",INDIRECT(ADDRESS(20,6))-INDIRECT(ADDRESS(20,7)))</f>
        <v>11</v>
      </c>
      <c r="L5" s="245"/>
      <c r="M5" s="16">
        <f ca="1">IF(COUNT(F5:K5)=0,"",SUM(F5:K5))</f>
        <v>30</v>
      </c>
      <c r="N5" s="221"/>
    </row>
    <row r="6" spans="2:14" ht="24" customHeight="1" x14ac:dyDescent="0.25">
      <c r="B6" s="139">
        <v>2</v>
      </c>
      <c r="C6" s="136" t="s">
        <v>65</v>
      </c>
      <c r="D6" s="137"/>
      <c r="E6" s="138"/>
      <c r="F6" s="12" t="str">
        <f ca="1">INDIRECT(ADDRESS(27,7))&amp;":"&amp;INDIRECT(ADDRESS(27,6))</f>
        <v>10:13</v>
      </c>
      <c r="G6" s="8" t="s">
        <v>24</v>
      </c>
      <c r="H6" s="7" t="str">
        <f ca="1">INDIRECT(ADDRESS(37,6))&amp;":"&amp;INDIRECT(ADDRESS(37,7))</f>
        <v>13:10</v>
      </c>
      <c r="I6" s="7" t="str">
        <f ca="1">INDIRECT(ADDRESS(41,7))&amp;":"&amp;INDIRECT(ADDRESS(41,6))</f>
        <v>13:7</v>
      </c>
      <c r="J6" s="7" t="str">
        <f ca="1">INDIRECT(ADDRESS(21,6))&amp;":"&amp;INDIRECT(ADDRESS(21,7))</f>
        <v>13:8</v>
      </c>
      <c r="K6" s="11" t="str">
        <f ca="1">INDIRECT(ADDRESS(30,6))&amp;":"&amp;INDIRECT(ADDRESS(30,7))</f>
        <v>13:8</v>
      </c>
      <c r="L6" s="245">
        <f ca="1">IF(COUNT(F7:K7)=0,"",COUNTIF(F7:K7,"&gt;0")+0.5*COUNTIF(F7:K7,0))</f>
        <v>4</v>
      </c>
      <c r="M6" s="16"/>
      <c r="N6" s="246">
        <v>2</v>
      </c>
    </row>
    <row r="7" spans="2:14" ht="24" customHeight="1" x14ac:dyDescent="0.25">
      <c r="B7" s="132"/>
      <c r="C7" s="136"/>
      <c r="D7" s="137"/>
      <c r="E7" s="138"/>
      <c r="F7" s="22">
        <f ca="1">IF(LEN(INDIRECT(ADDRESS(ROW()-1, COLUMN())))=1,"",INDIRECT(ADDRESS(27,7))-INDIRECT(ADDRESS(27,6)))</f>
        <v>-3</v>
      </c>
      <c r="G7" s="14" t="s">
        <v>24</v>
      </c>
      <c r="H7" s="16">
        <f ca="1">IF(LEN(INDIRECT(ADDRESS(ROW()-1, COLUMN())))=1,"",INDIRECT(ADDRESS(37,6))-INDIRECT(ADDRESS(37,7)))</f>
        <v>3</v>
      </c>
      <c r="I7" s="16">
        <f ca="1">IF(LEN(INDIRECT(ADDRESS(ROW()-1, COLUMN())))=1,"",INDIRECT(ADDRESS(41,7))-INDIRECT(ADDRESS(41,6)))</f>
        <v>6</v>
      </c>
      <c r="J7" s="16">
        <f ca="1">IF(LEN(INDIRECT(ADDRESS(ROW()-1, COLUMN())))=1,"",INDIRECT(ADDRESS(21,6))-INDIRECT(ADDRESS(21,7)))</f>
        <v>5</v>
      </c>
      <c r="K7" s="17">
        <f ca="1">IF(LEN(INDIRECT(ADDRESS(ROW()-1, COLUMN())))=1,"",INDIRECT(ADDRESS(30,6))-INDIRECT(ADDRESS(30,7)))</f>
        <v>5</v>
      </c>
      <c r="L7" s="245"/>
      <c r="M7" s="16">
        <f ca="1">IF(COUNT(F7:K7)=0,"",SUM(F7:K7))</f>
        <v>16</v>
      </c>
      <c r="N7" s="221"/>
    </row>
    <row r="8" spans="2:14" ht="24" customHeight="1" x14ac:dyDescent="0.25">
      <c r="B8" s="139">
        <v>3</v>
      </c>
      <c r="C8" s="140" t="s">
        <v>54</v>
      </c>
      <c r="D8" s="141"/>
      <c r="E8" s="142"/>
      <c r="F8" s="12" t="str">
        <f ca="1">INDIRECT(ADDRESS(31,6))&amp;":"&amp;INDIRECT(ADDRESS(31,7))</f>
        <v>11:13</v>
      </c>
      <c r="G8" s="7" t="str">
        <f ca="1">INDIRECT(ADDRESS(37,7))&amp;":"&amp;INDIRECT(ADDRESS(37,6))</f>
        <v>10:13</v>
      </c>
      <c r="H8" s="8" t="s">
        <v>24</v>
      </c>
      <c r="I8" s="7" t="str">
        <f ca="1">INDIRECT(ADDRESS(22,6))&amp;":"&amp;INDIRECT(ADDRESS(22,7))</f>
        <v>8:13</v>
      </c>
      <c r="J8" s="7" t="str">
        <f ca="1">INDIRECT(ADDRESS(26,7))&amp;":"&amp;INDIRECT(ADDRESS(26,6))</f>
        <v>8:13</v>
      </c>
      <c r="K8" s="11" t="str">
        <f ca="1">INDIRECT(ADDRESS(40,6))&amp;":"&amp;INDIRECT(ADDRESS(40,7))</f>
        <v>13:3</v>
      </c>
      <c r="L8" s="245">
        <f ca="1">IF(COUNT(F9:K9)=0,"",COUNTIF(F9:K9,"&gt;0")+0.5*COUNTIF(F9:K9,0))</f>
        <v>1</v>
      </c>
      <c r="M8" s="16">
        <v>5</v>
      </c>
      <c r="N8" s="246">
        <v>4</v>
      </c>
    </row>
    <row r="9" spans="2:14" ht="24" customHeight="1" x14ac:dyDescent="0.25">
      <c r="B9" s="132"/>
      <c r="C9" s="140"/>
      <c r="D9" s="141"/>
      <c r="E9" s="142"/>
      <c r="F9" s="22">
        <f ca="1">IF(LEN(INDIRECT(ADDRESS(ROW()-1, COLUMN())))=1,"",INDIRECT(ADDRESS(31,6))-INDIRECT(ADDRESS(31,7)))</f>
        <v>-2</v>
      </c>
      <c r="G9" s="16">
        <f ca="1">IF(LEN(INDIRECT(ADDRESS(ROW()-1, COLUMN())))=1,"",INDIRECT(ADDRESS(37,7))-INDIRECT(ADDRESS(37,6)))</f>
        <v>-3</v>
      </c>
      <c r="H9" s="14" t="s">
        <v>24</v>
      </c>
      <c r="I9" s="16">
        <f ca="1">IF(LEN(INDIRECT(ADDRESS(ROW()-1, COLUMN())))=1,"",INDIRECT(ADDRESS(22,6))-INDIRECT(ADDRESS(22,7)))</f>
        <v>-5</v>
      </c>
      <c r="J9" s="16">
        <f ca="1">IF(LEN(INDIRECT(ADDRESS(ROW()-1, COLUMN())))=1,"",INDIRECT(ADDRESS(26,7))-INDIRECT(ADDRESS(26,6)))</f>
        <v>-5</v>
      </c>
      <c r="K9" s="17">
        <f ca="1">IF(LEN(INDIRECT(ADDRESS(ROW()-1, COLUMN())))=1,"",INDIRECT(ADDRESS(40,6))-INDIRECT(ADDRESS(40,7)))</f>
        <v>10</v>
      </c>
      <c r="L9" s="245"/>
      <c r="M9" s="16">
        <f ca="1">IF(COUNT(F9:K9)=0,"",SUM(F9:K9))</f>
        <v>-5</v>
      </c>
      <c r="N9" s="221"/>
    </row>
    <row r="10" spans="2:14" ht="24" customHeight="1" x14ac:dyDescent="0.25">
      <c r="B10" s="139">
        <v>4</v>
      </c>
      <c r="C10" s="152" t="s">
        <v>66</v>
      </c>
      <c r="D10" s="153"/>
      <c r="E10" s="154"/>
      <c r="F10" s="12" t="str">
        <f ca="1">INDIRECT(ADDRESS(36,7))&amp;":"&amp;INDIRECT(ADDRESS(36,6))</f>
        <v>6:13</v>
      </c>
      <c r="G10" s="7" t="str">
        <f ca="1">INDIRECT(ADDRESS(41,6))&amp;":"&amp;INDIRECT(ADDRESS(41,7))</f>
        <v>7:13</v>
      </c>
      <c r="H10" s="7" t="str">
        <f ca="1">INDIRECT(ADDRESS(22,7))&amp;":"&amp;INDIRECT(ADDRESS(22,6))</f>
        <v>13:8</v>
      </c>
      <c r="I10" s="8" t="s">
        <v>24</v>
      </c>
      <c r="J10" s="7" t="str">
        <f ca="1">INDIRECT(ADDRESS(32,6))&amp;":"&amp;INDIRECT(ADDRESS(32,7))</f>
        <v>13:9</v>
      </c>
      <c r="K10" s="11" t="str">
        <f ca="1">INDIRECT(ADDRESS(25,7))&amp;":"&amp;INDIRECT(ADDRESS(25,6))</f>
        <v>13:4</v>
      </c>
      <c r="L10" s="245">
        <f ca="1">IF(COUNT(F11:K11)=0,"",COUNTIF(F11:K11,"&gt;0")+0.5*COUNTIF(F11:K11,0))</f>
        <v>3</v>
      </c>
      <c r="M10" s="16"/>
      <c r="N10" s="246">
        <v>3</v>
      </c>
    </row>
    <row r="11" spans="2:14" ht="24" customHeight="1" x14ac:dyDescent="0.25">
      <c r="B11" s="132"/>
      <c r="C11" s="152"/>
      <c r="D11" s="153"/>
      <c r="E11" s="154"/>
      <c r="F11" s="22">
        <f ca="1">IF(LEN(INDIRECT(ADDRESS(ROW()-1, COLUMN())))=1,"",INDIRECT(ADDRESS(36,7))-INDIRECT(ADDRESS(36,6)))</f>
        <v>-7</v>
      </c>
      <c r="G11" s="16">
        <f ca="1">IF(LEN(INDIRECT(ADDRESS(ROW()-1, COLUMN())))=1,"",INDIRECT(ADDRESS(41,6))-INDIRECT(ADDRESS(41,7)))</f>
        <v>-6</v>
      </c>
      <c r="H11" s="16">
        <f ca="1">IF(LEN(INDIRECT(ADDRESS(ROW()-1, COLUMN())))=1,"",INDIRECT(ADDRESS(22,7))-INDIRECT(ADDRESS(22,6)))</f>
        <v>5</v>
      </c>
      <c r="I11" s="14" t="s">
        <v>24</v>
      </c>
      <c r="J11" s="16">
        <f ca="1">IF(LEN(INDIRECT(ADDRESS(ROW()-1, COLUMN())))=1,"",INDIRECT(ADDRESS(32,6))-INDIRECT(ADDRESS(32,7)))</f>
        <v>4</v>
      </c>
      <c r="K11" s="17">
        <f ca="1">IF(LEN(INDIRECT(ADDRESS(ROW()-1, COLUMN())))=1,"",INDIRECT(ADDRESS(25,7))-INDIRECT(ADDRESS(25,6)))</f>
        <v>9</v>
      </c>
      <c r="L11" s="245"/>
      <c r="M11" s="16">
        <f ca="1">IF(COUNT(F11:K11)=0,"",SUM(F11:K11))</f>
        <v>5</v>
      </c>
      <c r="N11" s="221"/>
    </row>
    <row r="12" spans="2:14" ht="24" customHeight="1" x14ac:dyDescent="0.25">
      <c r="B12" s="139">
        <v>5</v>
      </c>
      <c r="C12" s="140" t="s">
        <v>67</v>
      </c>
      <c r="D12" s="141"/>
      <c r="E12" s="142"/>
      <c r="F12" s="12" t="str">
        <f ca="1">INDIRECT(ADDRESS(42,6))&amp;":"&amp;INDIRECT(ADDRESS(42,7))</f>
        <v>6:13</v>
      </c>
      <c r="G12" s="7" t="str">
        <f ca="1">INDIRECT(ADDRESS(21,7))&amp;":"&amp;INDIRECT(ADDRESS(21,6))</f>
        <v>8:13</v>
      </c>
      <c r="H12" s="7" t="str">
        <f ca="1">INDIRECT(ADDRESS(26,6))&amp;":"&amp;INDIRECT(ADDRESS(26,7))</f>
        <v>13:8</v>
      </c>
      <c r="I12" s="7" t="str">
        <f ca="1">INDIRECT(ADDRESS(32,7))&amp;":"&amp;INDIRECT(ADDRESS(32,6))</f>
        <v>9:13</v>
      </c>
      <c r="J12" s="8" t="s">
        <v>24</v>
      </c>
      <c r="K12" s="11" t="str">
        <f ca="1">INDIRECT(ADDRESS(35,7))&amp;":"&amp;INDIRECT(ADDRESS(35,6))</f>
        <v>10:13</v>
      </c>
      <c r="L12" s="245">
        <f ca="1">IF(COUNT(F13:K13)=0,"",COUNTIF(F13:K13,"&gt;0")+0.5*COUNTIF(F13:K13,0))</f>
        <v>1</v>
      </c>
      <c r="M12" s="16">
        <v>2</v>
      </c>
      <c r="N12" s="246">
        <v>5</v>
      </c>
    </row>
    <row r="13" spans="2:14" ht="24" customHeight="1" x14ac:dyDescent="0.25">
      <c r="B13" s="132"/>
      <c r="C13" s="140"/>
      <c r="D13" s="141"/>
      <c r="E13" s="142"/>
      <c r="F13" s="22">
        <f ca="1">IF(LEN(INDIRECT(ADDRESS(ROW()-1, COLUMN())))=1,"",INDIRECT(ADDRESS(42,6))-INDIRECT(ADDRESS(42,7)))</f>
        <v>-7</v>
      </c>
      <c r="G13" s="16">
        <f ca="1">IF(LEN(INDIRECT(ADDRESS(ROW()-1, COLUMN())))=1,"",INDIRECT(ADDRESS(21,7))-INDIRECT(ADDRESS(21,6)))</f>
        <v>-5</v>
      </c>
      <c r="H13" s="16">
        <f ca="1">IF(LEN(INDIRECT(ADDRESS(ROW()-1, COLUMN())))=1,"",INDIRECT(ADDRESS(26,6))-INDIRECT(ADDRESS(26,7)))</f>
        <v>5</v>
      </c>
      <c r="I13" s="16">
        <f ca="1">IF(LEN(INDIRECT(ADDRESS(ROW()-1, COLUMN())))=1,"",INDIRECT(ADDRESS(32,7))-INDIRECT(ADDRESS(32,6)))</f>
        <v>-4</v>
      </c>
      <c r="J13" s="14" t="s">
        <v>24</v>
      </c>
      <c r="K13" s="17">
        <f ca="1">IF(LEN(INDIRECT(ADDRESS(ROW()-1, COLUMN())))=1,"",INDIRECT(ADDRESS(35,7))-INDIRECT(ADDRESS(35,6)))</f>
        <v>-3</v>
      </c>
      <c r="L13" s="245"/>
      <c r="M13" s="16">
        <f ca="1">IF(COUNT(F13:K13)=0,"",SUM(F13:K13))</f>
        <v>-14</v>
      </c>
      <c r="N13" s="221"/>
    </row>
    <row r="14" spans="2:14" ht="24" customHeight="1" x14ac:dyDescent="0.25">
      <c r="B14" s="139">
        <v>6</v>
      </c>
      <c r="C14" s="140" t="s">
        <v>68</v>
      </c>
      <c r="D14" s="141"/>
      <c r="E14" s="142"/>
      <c r="F14" s="12" t="str">
        <f ca="1">INDIRECT(ADDRESS(20,7))&amp;":"&amp;INDIRECT(ADDRESS(20,6))</f>
        <v>2:13</v>
      </c>
      <c r="G14" s="7" t="str">
        <f ca="1">INDIRECT(ADDRESS(30,7))&amp;":"&amp;INDIRECT(ADDRESS(30,6))</f>
        <v>8:13</v>
      </c>
      <c r="H14" s="7" t="str">
        <f ca="1">INDIRECT(ADDRESS(40,7))&amp;":"&amp;INDIRECT(ADDRESS(40,6))</f>
        <v>3:13</v>
      </c>
      <c r="I14" s="7" t="str">
        <f ca="1">INDIRECT(ADDRESS(25,6))&amp;":"&amp;INDIRECT(ADDRESS(25,7))</f>
        <v>4:13</v>
      </c>
      <c r="J14" s="7" t="str">
        <f ca="1">INDIRECT(ADDRESS(35,6))&amp;":"&amp;INDIRECT(ADDRESS(35,7))</f>
        <v>13:10</v>
      </c>
      <c r="K14" s="34" t="s">
        <v>24</v>
      </c>
      <c r="L14" s="245">
        <f ca="1">IF(COUNT(F15:K15)=0,"",COUNTIF(F15:K15,"&gt;0")+0.5*COUNTIF(F15:K15,0))</f>
        <v>1</v>
      </c>
      <c r="M14" s="16">
        <v>-7</v>
      </c>
      <c r="N14" s="246">
        <v>6</v>
      </c>
    </row>
    <row r="15" spans="2:14" ht="24" customHeight="1" thickBot="1" x14ac:dyDescent="0.3">
      <c r="B15" s="143"/>
      <c r="C15" s="144"/>
      <c r="D15" s="145"/>
      <c r="E15" s="146"/>
      <c r="F15" s="19">
        <f ca="1">IF(LEN(INDIRECT(ADDRESS(ROW()-1, COLUMN())))=1,"",INDIRECT(ADDRESS(20,7))-INDIRECT(ADDRESS(20,6)))</f>
        <v>-11</v>
      </c>
      <c r="G15" s="18">
        <f ca="1">IF(LEN(INDIRECT(ADDRESS(ROW()-1, COLUMN())))=1,"",INDIRECT(ADDRESS(30,7))-INDIRECT(ADDRESS(30,6)))</f>
        <v>-5</v>
      </c>
      <c r="H15" s="18">
        <f ca="1">IF(LEN(INDIRECT(ADDRESS(ROW()-1, COLUMN())))=1,"",INDIRECT(ADDRESS(40,7))-INDIRECT(ADDRESS(40,6)))</f>
        <v>-10</v>
      </c>
      <c r="I15" s="18">
        <f ca="1">IF(LEN(INDIRECT(ADDRESS(ROW()-1, COLUMN())))=1,"",INDIRECT(ADDRESS(25,6))-INDIRECT(ADDRESS(25,7)))</f>
        <v>-9</v>
      </c>
      <c r="J15" s="18">
        <f ca="1">IF(LEN(INDIRECT(ADDRESS(ROW()-1, COLUMN())))=1,"",INDIRECT(ADDRESS(35,6))-INDIRECT(ADDRESS(35,7)))</f>
        <v>3</v>
      </c>
      <c r="K15" s="15" t="s">
        <v>24</v>
      </c>
      <c r="L15" s="248"/>
      <c r="M15" s="18">
        <f ca="1">IF(COUNT(F15:K15)=0,"",SUM(F15:K15))</f>
        <v>-32</v>
      </c>
      <c r="N15" s="247"/>
    </row>
    <row r="16" spans="2:14" x14ac:dyDescent="0.25">
      <c r="M16"/>
    </row>
    <row r="17" spans="1:13" x14ac:dyDescent="0.25">
      <c r="M17"/>
    </row>
    <row r="18" spans="1:13" x14ac:dyDescent="0.25">
      <c r="M18"/>
    </row>
    <row r="19" spans="1:13" s="36" customFormat="1" ht="30" customHeight="1" thickBot="1" x14ac:dyDescent="0.4">
      <c r="A19" s="35"/>
      <c r="B19" s="147" t="s">
        <v>4</v>
      </c>
      <c r="C19" s="147"/>
      <c r="D19" s="147"/>
      <c r="E19" s="147"/>
      <c r="F19" s="147"/>
      <c r="G19" s="147"/>
      <c r="H19" s="147"/>
      <c r="I19" s="147"/>
      <c r="J19" s="147"/>
      <c r="K19" s="147"/>
    </row>
    <row r="20" spans="1:13" s="36" customFormat="1" ht="30" customHeight="1" thickBot="1" x14ac:dyDescent="0.4">
      <c r="A20" s="35"/>
      <c r="B20" s="37">
        <v>1</v>
      </c>
      <c r="C20" s="124" t="str">
        <f ca="1">IF(ISBLANK(INDIRECT(ADDRESS(B20*2+2,3))),"",INDIRECT(ADDRESS(B20*2+2,3)))</f>
        <v>Кувакин Валерий</v>
      </c>
      <c r="D20" s="124"/>
      <c r="E20" s="125"/>
      <c r="F20" s="38">
        <v>13</v>
      </c>
      <c r="G20" s="39">
        <v>2</v>
      </c>
      <c r="H20" s="126" t="str">
        <f ca="1">IF(ISBLANK(INDIRECT(ADDRESS(K20*2+2,3))),"",INDIRECT(ADDRESS(K20*2+2,3)))</f>
        <v>Калякин Артемий</v>
      </c>
      <c r="I20" s="124"/>
      <c r="J20" s="124"/>
      <c r="K20" s="37">
        <v>6</v>
      </c>
      <c r="L20" s="40" t="s">
        <v>10</v>
      </c>
      <c r="M20" s="32"/>
    </row>
    <row r="21" spans="1:13" s="36" customFormat="1" ht="30" customHeight="1" thickBot="1" x14ac:dyDescent="0.4">
      <c r="A21" s="35"/>
      <c r="B21" s="37">
        <v>2</v>
      </c>
      <c r="C21" s="124" t="str">
        <f ca="1">IF(ISBLANK(INDIRECT(ADDRESS(B21*2+2,3))),"",INDIRECT(ADDRESS(B21*2+2,3)))</f>
        <v>Кулаков Петр</v>
      </c>
      <c r="D21" s="124"/>
      <c r="E21" s="125"/>
      <c r="F21" s="38">
        <v>13</v>
      </c>
      <c r="G21" s="39">
        <v>8</v>
      </c>
      <c r="H21" s="126" t="str">
        <f ca="1">IF(ISBLANK(INDIRECT(ADDRESS(K21*2+2,3))),"",INDIRECT(ADDRESS(K21*2+2,3)))</f>
        <v>Калякин Максим</v>
      </c>
      <c r="I21" s="124"/>
      <c r="J21" s="124"/>
      <c r="K21" s="37">
        <v>5</v>
      </c>
      <c r="L21" s="40" t="s">
        <v>10</v>
      </c>
      <c r="M21" s="32"/>
    </row>
    <row r="22" spans="1:13" s="36" customFormat="1" ht="30" customHeight="1" thickBot="1" x14ac:dyDescent="0.4">
      <c r="A22" s="35"/>
      <c r="B22" s="37">
        <v>3</v>
      </c>
      <c r="C22" s="124" t="str">
        <f ca="1">IF(ISBLANK(INDIRECT(ADDRESS(B22*2+2,3))),"",INDIRECT(ADDRESS(B22*2+2,3)))</f>
        <v>Смирнов Виктор</v>
      </c>
      <c r="D22" s="124"/>
      <c r="E22" s="125"/>
      <c r="F22" s="38">
        <v>8</v>
      </c>
      <c r="G22" s="39">
        <v>13</v>
      </c>
      <c r="H22" s="126" t="str">
        <f ca="1">IF(ISBLANK(INDIRECT(ADDRESS(K22*2+2,3))),"",INDIRECT(ADDRESS(K22*2+2,3)))</f>
        <v>Таратин Артем</v>
      </c>
      <c r="I22" s="124"/>
      <c r="J22" s="124"/>
      <c r="K22" s="37">
        <v>4</v>
      </c>
      <c r="L22" s="40" t="s">
        <v>10</v>
      </c>
      <c r="M22" s="32"/>
    </row>
    <row r="23" spans="1:13" s="36" customFormat="1" ht="30" customHeight="1" x14ac:dyDescent="0.35">
      <c r="A23" s="35"/>
      <c r="M23" s="41"/>
    </row>
    <row r="24" spans="1:13" s="36" customFormat="1" ht="30" customHeight="1" thickBot="1" x14ac:dyDescent="0.4">
      <c r="A24" s="35"/>
      <c r="B24" s="147" t="s">
        <v>5</v>
      </c>
      <c r="C24" s="147"/>
      <c r="D24" s="147"/>
      <c r="E24" s="147"/>
      <c r="F24" s="147"/>
      <c r="G24" s="147"/>
      <c r="H24" s="147"/>
      <c r="I24" s="147"/>
      <c r="J24" s="147"/>
      <c r="K24" s="147"/>
      <c r="M24" s="41"/>
    </row>
    <row r="25" spans="1:13" s="36" customFormat="1" ht="30" customHeight="1" thickBot="1" x14ac:dyDescent="0.4">
      <c r="A25" s="35"/>
      <c r="B25" s="37">
        <v>6</v>
      </c>
      <c r="C25" s="124" t="str">
        <f ca="1">IF(ISBLANK(INDIRECT(ADDRESS(B25*2+2,3))),"",INDIRECT(ADDRESS(B25*2+2,3)))</f>
        <v>Калякин Артемий</v>
      </c>
      <c r="D25" s="124"/>
      <c r="E25" s="125"/>
      <c r="F25" s="38">
        <v>4</v>
      </c>
      <c r="G25" s="39">
        <v>13</v>
      </c>
      <c r="H25" s="126" t="str">
        <f ca="1">IF(ISBLANK(INDIRECT(ADDRESS(K25*2+2,3))),"",INDIRECT(ADDRESS(K25*2+2,3)))</f>
        <v>Таратин Артем</v>
      </c>
      <c r="I25" s="124"/>
      <c r="J25" s="124"/>
      <c r="K25" s="37">
        <v>4</v>
      </c>
      <c r="L25" s="40" t="s">
        <v>10</v>
      </c>
      <c r="M25" s="32"/>
    </row>
    <row r="26" spans="1:13" s="36" customFormat="1" ht="30" customHeight="1" thickBot="1" x14ac:dyDescent="0.4">
      <c r="A26" s="35"/>
      <c r="B26" s="37">
        <v>5</v>
      </c>
      <c r="C26" s="124" t="str">
        <f ca="1">IF(ISBLANK(INDIRECT(ADDRESS(B26*2+2,3))),"",INDIRECT(ADDRESS(B26*2+2,3)))</f>
        <v>Калякин Максим</v>
      </c>
      <c r="D26" s="124"/>
      <c r="E26" s="125"/>
      <c r="F26" s="38">
        <v>13</v>
      </c>
      <c r="G26" s="39">
        <v>8</v>
      </c>
      <c r="H26" s="126" t="str">
        <f ca="1">IF(ISBLANK(INDIRECT(ADDRESS(K26*2+2,3))),"",INDIRECT(ADDRESS(K26*2+2,3)))</f>
        <v>Смирнов Виктор</v>
      </c>
      <c r="I26" s="124"/>
      <c r="J26" s="124"/>
      <c r="K26" s="37">
        <v>3</v>
      </c>
      <c r="L26" s="40" t="s">
        <v>10</v>
      </c>
      <c r="M26" s="32"/>
    </row>
    <row r="27" spans="1:13" s="36" customFormat="1" ht="30" customHeight="1" thickBot="1" x14ac:dyDescent="0.4">
      <c r="A27" s="35"/>
      <c r="B27" s="37">
        <v>1</v>
      </c>
      <c r="C27" s="124" t="str">
        <f ca="1">IF(ISBLANK(INDIRECT(ADDRESS(B27*2+2,3))),"",INDIRECT(ADDRESS(B27*2+2,3)))</f>
        <v>Кувакин Валерий</v>
      </c>
      <c r="D27" s="124"/>
      <c r="E27" s="125"/>
      <c r="F27" s="38">
        <v>13</v>
      </c>
      <c r="G27" s="39">
        <v>10</v>
      </c>
      <c r="H27" s="126" t="str">
        <f ca="1">IF(ISBLANK(INDIRECT(ADDRESS(K27*2+2,3))),"",INDIRECT(ADDRESS(K27*2+2,3)))</f>
        <v>Кулаков Петр</v>
      </c>
      <c r="I27" s="124"/>
      <c r="J27" s="124"/>
      <c r="K27" s="37">
        <v>2</v>
      </c>
      <c r="L27" s="40" t="s">
        <v>10</v>
      </c>
      <c r="M27" s="32"/>
    </row>
    <row r="28" spans="1:13" s="36" customFormat="1" ht="30" customHeight="1" x14ac:dyDescent="0.35">
      <c r="A28" s="35"/>
      <c r="M28" s="41"/>
    </row>
    <row r="29" spans="1:13" s="36" customFormat="1" ht="30" customHeight="1" thickBot="1" x14ac:dyDescent="0.4">
      <c r="A29" s="35"/>
      <c r="B29" s="147" t="s">
        <v>6</v>
      </c>
      <c r="C29" s="147"/>
      <c r="D29" s="147"/>
      <c r="E29" s="147"/>
      <c r="F29" s="147"/>
      <c r="G29" s="147"/>
      <c r="H29" s="147"/>
      <c r="I29" s="147"/>
      <c r="J29" s="147"/>
      <c r="K29" s="147"/>
      <c r="M29" s="41"/>
    </row>
    <row r="30" spans="1:13" s="36" customFormat="1" ht="30" customHeight="1" thickBot="1" x14ac:dyDescent="0.4">
      <c r="A30" s="35"/>
      <c r="B30" s="37">
        <v>2</v>
      </c>
      <c r="C30" s="124" t="str">
        <f ca="1">IF(ISBLANK(INDIRECT(ADDRESS(B30*2+2,3))),"",INDIRECT(ADDRESS(B30*2+2,3)))</f>
        <v>Кулаков Петр</v>
      </c>
      <c r="D30" s="124"/>
      <c r="E30" s="125"/>
      <c r="F30" s="38">
        <v>13</v>
      </c>
      <c r="G30" s="39">
        <v>8</v>
      </c>
      <c r="H30" s="126" t="str">
        <f ca="1">IF(ISBLANK(INDIRECT(ADDRESS(K30*2+2,3))),"",INDIRECT(ADDRESS(K30*2+2,3)))</f>
        <v>Калякин Артемий</v>
      </c>
      <c r="I30" s="124"/>
      <c r="J30" s="124"/>
      <c r="K30" s="37">
        <v>6</v>
      </c>
      <c r="L30" s="40" t="s">
        <v>10</v>
      </c>
      <c r="M30" s="32"/>
    </row>
    <row r="31" spans="1:13" s="36" customFormat="1" ht="30" customHeight="1" thickBot="1" x14ac:dyDescent="0.4">
      <c r="A31" s="35"/>
      <c r="B31" s="37">
        <v>3</v>
      </c>
      <c r="C31" s="124" t="str">
        <f ca="1">IF(ISBLANK(INDIRECT(ADDRESS(B31*2+2,3))),"",INDIRECT(ADDRESS(B31*2+2,3)))</f>
        <v>Смирнов Виктор</v>
      </c>
      <c r="D31" s="124"/>
      <c r="E31" s="125"/>
      <c r="F31" s="38">
        <v>11</v>
      </c>
      <c r="G31" s="39">
        <v>13</v>
      </c>
      <c r="H31" s="126" t="str">
        <f ca="1">IF(ISBLANK(INDIRECT(ADDRESS(K31*2+2,3))),"",INDIRECT(ADDRESS(K31*2+2,3)))</f>
        <v>Кувакин Валерий</v>
      </c>
      <c r="I31" s="124"/>
      <c r="J31" s="124"/>
      <c r="K31" s="37">
        <v>1</v>
      </c>
      <c r="L31" s="40" t="s">
        <v>10</v>
      </c>
      <c r="M31" s="32"/>
    </row>
    <row r="32" spans="1:13" s="36" customFormat="1" ht="30" customHeight="1" thickBot="1" x14ac:dyDescent="0.4">
      <c r="A32" s="35"/>
      <c r="B32" s="37">
        <v>4</v>
      </c>
      <c r="C32" s="124" t="str">
        <f ca="1">IF(ISBLANK(INDIRECT(ADDRESS(B32*2+2,3))),"",INDIRECT(ADDRESS(B32*2+2,3)))</f>
        <v>Таратин Артем</v>
      </c>
      <c r="D32" s="124"/>
      <c r="E32" s="125"/>
      <c r="F32" s="38">
        <v>13</v>
      </c>
      <c r="G32" s="39">
        <v>9</v>
      </c>
      <c r="H32" s="126" t="str">
        <f ca="1">IF(ISBLANK(INDIRECT(ADDRESS(K32*2+2,3))),"",INDIRECT(ADDRESS(K32*2+2,3)))</f>
        <v>Калякин Максим</v>
      </c>
      <c r="I32" s="124"/>
      <c r="J32" s="124"/>
      <c r="K32" s="37">
        <v>5</v>
      </c>
      <c r="L32" s="40" t="s">
        <v>10</v>
      </c>
      <c r="M32" s="32"/>
    </row>
    <row r="33" spans="1:13" s="36" customFormat="1" ht="30" customHeight="1" x14ac:dyDescent="0.35">
      <c r="A33" s="35"/>
      <c r="M33" s="41"/>
    </row>
    <row r="34" spans="1:13" s="36" customFormat="1" ht="30" customHeight="1" thickBot="1" x14ac:dyDescent="0.4">
      <c r="A34" s="35"/>
      <c r="B34" s="147" t="s">
        <v>7</v>
      </c>
      <c r="C34" s="147"/>
      <c r="D34" s="147"/>
      <c r="E34" s="147"/>
      <c r="F34" s="147"/>
      <c r="G34" s="147"/>
      <c r="H34" s="147"/>
      <c r="I34" s="147"/>
      <c r="J34" s="147"/>
      <c r="K34" s="147"/>
      <c r="M34" s="41"/>
    </row>
    <row r="35" spans="1:13" s="36" customFormat="1" ht="30" customHeight="1" thickBot="1" x14ac:dyDescent="0.4">
      <c r="A35" s="35"/>
      <c r="B35" s="37">
        <v>6</v>
      </c>
      <c r="C35" s="124" t="str">
        <f ca="1">IF(ISBLANK(INDIRECT(ADDRESS(B35*2+2,3))),"",INDIRECT(ADDRESS(B35*2+2,3)))</f>
        <v>Калякин Артемий</v>
      </c>
      <c r="D35" s="124"/>
      <c r="E35" s="125"/>
      <c r="F35" s="38">
        <v>13</v>
      </c>
      <c r="G35" s="39">
        <v>10</v>
      </c>
      <c r="H35" s="126" t="str">
        <f ca="1">IF(ISBLANK(INDIRECT(ADDRESS(K35*2+2,3))),"",INDIRECT(ADDRESS(K35*2+2,3)))</f>
        <v>Калякин Максим</v>
      </c>
      <c r="I35" s="124"/>
      <c r="J35" s="124"/>
      <c r="K35" s="37">
        <v>5</v>
      </c>
      <c r="L35" s="40" t="s">
        <v>10</v>
      </c>
      <c r="M35" s="32"/>
    </row>
    <row r="36" spans="1:13" s="36" customFormat="1" ht="30" customHeight="1" thickBot="1" x14ac:dyDescent="0.4">
      <c r="A36" s="35"/>
      <c r="B36" s="37">
        <v>1</v>
      </c>
      <c r="C36" s="124" t="str">
        <f ca="1">IF(ISBLANK(INDIRECT(ADDRESS(B36*2+2,3))),"",INDIRECT(ADDRESS(B36*2+2,3)))</f>
        <v>Кувакин Валерий</v>
      </c>
      <c r="D36" s="124"/>
      <c r="E36" s="125"/>
      <c r="F36" s="38">
        <v>13</v>
      </c>
      <c r="G36" s="39">
        <v>6</v>
      </c>
      <c r="H36" s="126" t="str">
        <f ca="1">IF(ISBLANK(INDIRECT(ADDRESS(K36*2+2,3))),"",INDIRECT(ADDRESS(K36*2+2,3)))</f>
        <v>Таратин Артем</v>
      </c>
      <c r="I36" s="124"/>
      <c r="J36" s="124"/>
      <c r="K36" s="37">
        <v>4</v>
      </c>
      <c r="L36" s="40" t="s">
        <v>10</v>
      </c>
      <c r="M36" s="32"/>
    </row>
    <row r="37" spans="1:13" s="36" customFormat="1" ht="30" customHeight="1" thickBot="1" x14ac:dyDescent="0.4">
      <c r="A37" s="35"/>
      <c r="B37" s="37">
        <v>2</v>
      </c>
      <c r="C37" s="124" t="str">
        <f ca="1">IF(ISBLANK(INDIRECT(ADDRESS(B37*2+2,3))),"",INDIRECT(ADDRESS(B37*2+2,3)))</f>
        <v>Кулаков Петр</v>
      </c>
      <c r="D37" s="124"/>
      <c r="E37" s="125"/>
      <c r="F37" s="38">
        <v>13</v>
      </c>
      <c r="G37" s="39">
        <v>10</v>
      </c>
      <c r="H37" s="126" t="str">
        <f ca="1">IF(ISBLANK(INDIRECT(ADDRESS(K37*2+2,3))),"",INDIRECT(ADDRESS(K37*2+2,3)))</f>
        <v>Смирнов Виктор</v>
      </c>
      <c r="I37" s="124"/>
      <c r="J37" s="124"/>
      <c r="K37" s="37">
        <v>3</v>
      </c>
      <c r="L37" s="40" t="s">
        <v>10</v>
      </c>
      <c r="M37" s="32"/>
    </row>
    <row r="38" spans="1:13" s="36" customFormat="1" ht="30" customHeight="1" x14ac:dyDescent="0.35">
      <c r="A38" s="35"/>
      <c r="M38" s="41"/>
    </row>
    <row r="39" spans="1:13" s="36" customFormat="1" ht="30" customHeight="1" thickBot="1" x14ac:dyDescent="0.4">
      <c r="A39" s="35"/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  <c r="M39" s="41"/>
    </row>
    <row r="40" spans="1:13" s="36" customFormat="1" ht="30" customHeight="1" thickBot="1" x14ac:dyDescent="0.4">
      <c r="A40" s="35"/>
      <c r="B40" s="37">
        <v>3</v>
      </c>
      <c r="C40" s="124" t="str">
        <f ca="1">IF(ISBLANK(INDIRECT(ADDRESS(B40*2+2,3))),"",INDIRECT(ADDRESS(B40*2+2,3)))</f>
        <v>Смирнов Виктор</v>
      </c>
      <c r="D40" s="124"/>
      <c r="E40" s="125"/>
      <c r="F40" s="38">
        <v>13</v>
      </c>
      <c r="G40" s="39">
        <v>3</v>
      </c>
      <c r="H40" s="126" t="str">
        <f ca="1">IF(ISBLANK(INDIRECT(ADDRESS(K40*2+2,3))),"",INDIRECT(ADDRESS(K40*2+2,3)))</f>
        <v>Калякин Артемий</v>
      </c>
      <c r="I40" s="124"/>
      <c r="J40" s="124"/>
      <c r="K40" s="37">
        <v>6</v>
      </c>
      <c r="L40" s="40" t="s">
        <v>10</v>
      </c>
      <c r="M40" s="32"/>
    </row>
    <row r="41" spans="1:13" s="36" customFormat="1" ht="30" customHeight="1" thickBot="1" x14ac:dyDescent="0.4">
      <c r="A41" s="35"/>
      <c r="B41" s="37">
        <v>4</v>
      </c>
      <c r="C41" s="124" t="str">
        <f ca="1">IF(ISBLANK(INDIRECT(ADDRESS(B41*2+2,3))),"",INDIRECT(ADDRESS(B41*2+2,3)))</f>
        <v>Таратин Артем</v>
      </c>
      <c r="D41" s="124"/>
      <c r="E41" s="125"/>
      <c r="F41" s="38">
        <v>7</v>
      </c>
      <c r="G41" s="39">
        <v>13</v>
      </c>
      <c r="H41" s="126" t="str">
        <f ca="1">IF(ISBLANK(INDIRECT(ADDRESS(K41*2+2,3))),"",INDIRECT(ADDRESS(K41*2+2,3)))</f>
        <v>Кулаков Петр</v>
      </c>
      <c r="I41" s="124"/>
      <c r="J41" s="124"/>
      <c r="K41" s="37">
        <v>2</v>
      </c>
      <c r="L41" s="40" t="s">
        <v>10</v>
      </c>
      <c r="M41" s="32"/>
    </row>
    <row r="42" spans="1:13" s="36" customFormat="1" ht="30" customHeight="1" thickBot="1" x14ac:dyDescent="0.4">
      <c r="A42" s="35"/>
      <c r="B42" s="37">
        <v>5</v>
      </c>
      <c r="C42" s="124" t="str">
        <f ca="1">IF(ISBLANK(INDIRECT(ADDRESS(B42*2+2,3))),"",INDIRECT(ADDRESS(B42*2+2,3)))</f>
        <v>Калякин Максим</v>
      </c>
      <c r="D42" s="124"/>
      <c r="E42" s="125"/>
      <c r="F42" s="38">
        <v>6</v>
      </c>
      <c r="G42" s="39">
        <v>13</v>
      </c>
      <c r="H42" s="126" t="str">
        <f ca="1">IF(ISBLANK(INDIRECT(ADDRESS(K42*2+2,3))),"",INDIRECT(ADDRESS(K42*2+2,3)))</f>
        <v>Кувакин Валерий</v>
      </c>
      <c r="I42" s="124"/>
      <c r="J42" s="124"/>
      <c r="K42" s="37">
        <v>1</v>
      </c>
      <c r="L42" s="40" t="s">
        <v>10</v>
      </c>
      <c r="M42" s="32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P5" sqref="P5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7" ht="38.25" customHeight="1" x14ac:dyDescent="0.25">
      <c r="B1" s="127" t="s">
        <v>28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18</v>
      </c>
      <c r="M1"/>
      <c r="N1" s="31">
        <v>46033</v>
      </c>
    </row>
    <row r="2" spans="2:17" ht="15.75" thickBot="1" x14ac:dyDescent="0.3">
      <c r="M2"/>
    </row>
    <row r="3" spans="2:17" ht="30" customHeight="1" thickBot="1" x14ac:dyDescent="0.3">
      <c r="B3" s="33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7" ht="24" customHeight="1" x14ac:dyDescent="0.25">
      <c r="B4" s="131">
        <v>1</v>
      </c>
      <c r="C4" s="157" t="s">
        <v>53</v>
      </c>
      <c r="D4" s="158"/>
      <c r="E4" s="159"/>
      <c r="F4" s="10" t="s">
        <v>24</v>
      </c>
      <c r="G4" s="6" t="str">
        <f ca="1">INDIRECT(ADDRESS(27,6))&amp;":"&amp;INDIRECT(ADDRESS(27,7))</f>
        <v>13:3</v>
      </c>
      <c r="H4" s="6" t="str">
        <f ca="1">INDIRECT(ADDRESS(31,7))&amp;":"&amp;INDIRECT(ADDRESS(31,6))</f>
        <v>4:13</v>
      </c>
      <c r="I4" s="6" t="str">
        <f ca="1">INDIRECT(ADDRESS(36,6))&amp;":"&amp;INDIRECT(ADDRESS(36,7))</f>
        <v>13:6</v>
      </c>
      <c r="J4" s="6" t="str">
        <f ca="1">INDIRECT(ADDRESS(42,7))&amp;":"&amp;INDIRECT(ADDRESS(42,6))</f>
        <v>8:13</v>
      </c>
      <c r="K4" s="20" t="str">
        <f ca="1">INDIRECT(ADDRESS(20,6))&amp;":"&amp;INDIRECT(ADDRESS(20,7))</f>
        <v>13:12</v>
      </c>
      <c r="L4" s="244">
        <f ca="1">IF(COUNT(F5:K5)=0,"",COUNTIF(F5:K5,"&gt;0")+0.5*COUNTIF(F5:K5,0))</f>
        <v>3</v>
      </c>
      <c r="M4" s="23"/>
      <c r="N4" s="219">
        <v>3</v>
      </c>
    </row>
    <row r="5" spans="2:17" ht="24" customHeight="1" x14ac:dyDescent="0.25">
      <c r="B5" s="132"/>
      <c r="C5" s="152"/>
      <c r="D5" s="153"/>
      <c r="E5" s="154"/>
      <c r="F5" s="13" t="s">
        <v>24</v>
      </c>
      <c r="G5" s="16">
        <f ca="1">IF(LEN(INDIRECT(ADDRESS(ROW()-1, COLUMN())))=1,"",INDIRECT(ADDRESS(27,6))-INDIRECT(ADDRESS(27,7)))</f>
        <v>10</v>
      </c>
      <c r="H5" s="16">
        <f ca="1">IF(LEN(INDIRECT(ADDRESS(ROW()-1, COLUMN())))=1,"",INDIRECT(ADDRESS(31,7))-INDIRECT(ADDRESS(31,6)))</f>
        <v>-9</v>
      </c>
      <c r="I5" s="16">
        <f ca="1">IF(LEN(INDIRECT(ADDRESS(ROW()-1, COLUMN())))=1,"",INDIRECT(ADDRESS(36,6))-INDIRECT(ADDRESS(36,7)))</f>
        <v>7</v>
      </c>
      <c r="J5" s="16">
        <f ca="1">IF(LEN(INDIRECT(ADDRESS(ROW()-1, COLUMN())))=1,"",INDIRECT(ADDRESS(42,7))-INDIRECT(ADDRESS(42,6)))</f>
        <v>-5</v>
      </c>
      <c r="K5" s="17">
        <f ca="1">IF(LEN(INDIRECT(ADDRESS(ROW()-1, COLUMN())))=1,"",INDIRECT(ADDRESS(20,6))-INDIRECT(ADDRESS(20,7)))</f>
        <v>1</v>
      </c>
      <c r="L5" s="245"/>
      <c r="M5" s="16">
        <f ca="1">IF(COUNT(F5:K5)=0,"",SUM(F5:K5))</f>
        <v>4</v>
      </c>
      <c r="N5" s="221"/>
    </row>
    <row r="6" spans="2:17" ht="24" customHeight="1" x14ac:dyDescent="0.25">
      <c r="B6" s="139">
        <v>2</v>
      </c>
      <c r="C6" s="140" t="s">
        <v>69</v>
      </c>
      <c r="D6" s="141"/>
      <c r="E6" s="142"/>
      <c r="F6" s="12" t="str">
        <f ca="1">INDIRECT(ADDRESS(27,7))&amp;":"&amp;INDIRECT(ADDRESS(27,6))</f>
        <v>3:13</v>
      </c>
      <c r="G6" s="8" t="s">
        <v>24</v>
      </c>
      <c r="H6" s="7" t="str">
        <f ca="1">INDIRECT(ADDRESS(37,6))&amp;":"&amp;INDIRECT(ADDRESS(37,7))</f>
        <v>8:13</v>
      </c>
      <c r="I6" s="7" t="str">
        <f ca="1">INDIRECT(ADDRESS(41,7))&amp;":"&amp;INDIRECT(ADDRESS(41,6))</f>
        <v>13:9</v>
      </c>
      <c r="J6" s="7" t="str">
        <f ca="1">INDIRECT(ADDRESS(21,6))&amp;":"&amp;INDIRECT(ADDRESS(21,7))</f>
        <v>11:13</v>
      </c>
      <c r="K6" s="11" t="str">
        <f ca="1">INDIRECT(ADDRESS(30,6))&amp;":"&amp;INDIRECT(ADDRESS(30,7))</f>
        <v>13:9</v>
      </c>
      <c r="L6" s="245">
        <f ca="1">IF(COUNT(F7:K7)=0,"",COUNTIF(F7:K7,"&gt;0")+0.5*COUNTIF(F7:K7,0))</f>
        <v>2</v>
      </c>
      <c r="M6" s="16"/>
      <c r="N6" s="246">
        <v>4</v>
      </c>
    </row>
    <row r="7" spans="2:17" ht="24" customHeight="1" x14ac:dyDescent="0.25">
      <c r="B7" s="132"/>
      <c r="C7" s="140"/>
      <c r="D7" s="141"/>
      <c r="E7" s="142"/>
      <c r="F7" s="22">
        <f ca="1">IF(LEN(INDIRECT(ADDRESS(ROW()-1, COLUMN())))=1,"",INDIRECT(ADDRESS(27,7))-INDIRECT(ADDRESS(27,6)))</f>
        <v>-10</v>
      </c>
      <c r="G7" s="14" t="s">
        <v>24</v>
      </c>
      <c r="H7" s="16">
        <f ca="1">IF(LEN(INDIRECT(ADDRESS(ROW()-1, COLUMN())))=1,"",INDIRECT(ADDRESS(37,6))-INDIRECT(ADDRESS(37,7)))</f>
        <v>-5</v>
      </c>
      <c r="I7" s="16">
        <f ca="1">IF(LEN(INDIRECT(ADDRESS(ROW()-1, COLUMN())))=1,"",INDIRECT(ADDRESS(41,7))-INDIRECT(ADDRESS(41,6)))</f>
        <v>4</v>
      </c>
      <c r="J7" s="16">
        <f ca="1">IF(LEN(INDIRECT(ADDRESS(ROW()-1, COLUMN())))=1,"",INDIRECT(ADDRESS(21,6))-INDIRECT(ADDRESS(21,7)))</f>
        <v>-2</v>
      </c>
      <c r="K7" s="17">
        <f ca="1">IF(LEN(INDIRECT(ADDRESS(ROW()-1, COLUMN())))=1,"",INDIRECT(ADDRESS(30,6))-INDIRECT(ADDRESS(30,7)))</f>
        <v>4</v>
      </c>
      <c r="L7" s="245"/>
      <c r="M7" s="16">
        <f ca="1">IF(COUNT(F7:K7)=0,"",SUM(F7:K7))</f>
        <v>-9</v>
      </c>
      <c r="N7" s="221"/>
    </row>
    <row r="8" spans="2:17" ht="24" customHeight="1" x14ac:dyDescent="0.25">
      <c r="B8" s="139">
        <v>3</v>
      </c>
      <c r="C8" s="136" t="s">
        <v>70</v>
      </c>
      <c r="D8" s="137"/>
      <c r="E8" s="138"/>
      <c r="F8" s="12" t="str">
        <f ca="1">INDIRECT(ADDRESS(31,6))&amp;":"&amp;INDIRECT(ADDRESS(31,7))</f>
        <v>13:4</v>
      </c>
      <c r="G8" s="7" t="str">
        <f ca="1">INDIRECT(ADDRESS(37,7))&amp;":"&amp;INDIRECT(ADDRESS(37,6))</f>
        <v>13:8</v>
      </c>
      <c r="H8" s="8" t="s">
        <v>24</v>
      </c>
      <c r="I8" s="7" t="str">
        <f ca="1">INDIRECT(ADDRESS(22,6))&amp;":"&amp;INDIRECT(ADDRESS(22,7))</f>
        <v>13:3</v>
      </c>
      <c r="J8" s="7" t="str">
        <f ca="1">INDIRECT(ADDRESS(26,7))&amp;":"&amp;INDIRECT(ADDRESS(26,6))</f>
        <v>10:11</v>
      </c>
      <c r="K8" s="11" t="str">
        <f ca="1">INDIRECT(ADDRESS(40,6))&amp;":"&amp;INDIRECT(ADDRESS(40,7))</f>
        <v>12:13</v>
      </c>
      <c r="L8" s="245">
        <f ca="1">IF(COUNT(F9:K9)=0,"",COUNTIF(F9:K9,"&gt;0")+0.5*COUNTIF(F9:K9,0))</f>
        <v>3</v>
      </c>
      <c r="M8" s="16"/>
      <c r="N8" s="246">
        <v>2</v>
      </c>
    </row>
    <row r="9" spans="2:17" ht="24" customHeight="1" x14ac:dyDescent="0.25">
      <c r="B9" s="132"/>
      <c r="C9" s="136"/>
      <c r="D9" s="137"/>
      <c r="E9" s="138"/>
      <c r="F9" s="22">
        <f ca="1">IF(LEN(INDIRECT(ADDRESS(ROW()-1, COLUMN())))=1,"",INDIRECT(ADDRESS(31,6))-INDIRECT(ADDRESS(31,7)))</f>
        <v>9</v>
      </c>
      <c r="G9" s="16">
        <f ca="1">IF(LEN(INDIRECT(ADDRESS(ROW()-1, COLUMN())))=1,"",INDIRECT(ADDRESS(37,7))-INDIRECT(ADDRESS(37,6)))</f>
        <v>5</v>
      </c>
      <c r="H9" s="14" t="s">
        <v>24</v>
      </c>
      <c r="I9" s="16">
        <f ca="1">IF(LEN(INDIRECT(ADDRESS(ROW()-1, COLUMN())))=1,"",INDIRECT(ADDRESS(22,6))-INDIRECT(ADDRESS(22,7)))</f>
        <v>10</v>
      </c>
      <c r="J9" s="16">
        <f ca="1">IF(LEN(INDIRECT(ADDRESS(ROW()-1, COLUMN())))=1,"",INDIRECT(ADDRESS(26,7))-INDIRECT(ADDRESS(26,6)))</f>
        <v>-1</v>
      </c>
      <c r="K9" s="17">
        <f ca="1">IF(LEN(INDIRECT(ADDRESS(ROW()-1, COLUMN())))=1,"",INDIRECT(ADDRESS(40,6))-INDIRECT(ADDRESS(40,7)))</f>
        <v>-1</v>
      </c>
      <c r="L9" s="245"/>
      <c r="M9" s="16">
        <f ca="1">IF(COUNT(F9:K9)=0,"",SUM(F9:K9))</f>
        <v>22</v>
      </c>
      <c r="N9" s="221"/>
    </row>
    <row r="10" spans="2:17" ht="24" customHeight="1" x14ac:dyDescent="0.25">
      <c r="B10" s="139">
        <v>4</v>
      </c>
      <c r="C10" s="140" t="s">
        <v>71</v>
      </c>
      <c r="D10" s="141"/>
      <c r="E10" s="142"/>
      <c r="F10" s="12" t="str">
        <f ca="1">INDIRECT(ADDRESS(36,7))&amp;":"&amp;INDIRECT(ADDRESS(36,6))</f>
        <v>6:13</v>
      </c>
      <c r="G10" s="7" t="str">
        <f ca="1">INDIRECT(ADDRESS(41,6))&amp;":"&amp;INDIRECT(ADDRESS(41,7))</f>
        <v>9:13</v>
      </c>
      <c r="H10" s="7" t="str">
        <f ca="1">INDIRECT(ADDRESS(22,7))&amp;":"&amp;INDIRECT(ADDRESS(22,6))</f>
        <v>3:13</v>
      </c>
      <c r="I10" s="8" t="s">
        <v>24</v>
      </c>
      <c r="J10" s="7" t="str">
        <f ca="1">INDIRECT(ADDRESS(32,6))&amp;":"&amp;INDIRECT(ADDRESS(32,7))</f>
        <v>11:13</v>
      </c>
      <c r="K10" s="11" t="str">
        <f ca="1">INDIRECT(ADDRESS(25,7))&amp;":"&amp;INDIRECT(ADDRESS(25,6))</f>
        <v>13:12</v>
      </c>
      <c r="L10" s="245">
        <f ca="1">IF(COUNT(F11:K11)=0,"",COUNTIF(F11:K11,"&gt;0")+0.5*COUNTIF(F11:K11,0))</f>
        <v>1</v>
      </c>
      <c r="M10" s="16"/>
      <c r="N10" s="246">
        <v>5</v>
      </c>
      <c r="Q10" t="s">
        <v>27</v>
      </c>
    </row>
    <row r="11" spans="2:17" ht="24" customHeight="1" x14ac:dyDescent="0.25">
      <c r="B11" s="132"/>
      <c r="C11" s="140"/>
      <c r="D11" s="141"/>
      <c r="E11" s="142"/>
      <c r="F11" s="22">
        <f ca="1">IF(LEN(INDIRECT(ADDRESS(ROW()-1, COLUMN())))=1,"",INDIRECT(ADDRESS(36,7))-INDIRECT(ADDRESS(36,6)))</f>
        <v>-7</v>
      </c>
      <c r="G11" s="16">
        <f ca="1">IF(LEN(INDIRECT(ADDRESS(ROW()-1, COLUMN())))=1,"",INDIRECT(ADDRESS(41,6))-INDIRECT(ADDRESS(41,7)))</f>
        <v>-4</v>
      </c>
      <c r="H11" s="16">
        <f ca="1">IF(LEN(INDIRECT(ADDRESS(ROW()-1, COLUMN())))=1,"",INDIRECT(ADDRESS(22,7))-INDIRECT(ADDRESS(22,6)))</f>
        <v>-10</v>
      </c>
      <c r="I11" s="14" t="s">
        <v>24</v>
      </c>
      <c r="J11" s="16">
        <f ca="1">IF(LEN(INDIRECT(ADDRESS(ROW()-1, COLUMN())))=1,"",INDIRECT(ADDRESS(32,6))-INDIRECT(ADDRESS(32,7)))</f>
        <v>-2</v>
      </c>
      <c r="K11" s="17">
        <f ca="1">IF(LEN(INDIRECT(ADDRESS(ROW()-1, COLUMN())))=1,"",INDIRECT(ADDRESS(25,7))-INDIRECT(ADDRESS(25,6)))</f>
        <v>1</v>
      </c>
      <c r="L11" s="245"/>
      <c r="M11" s="16">
        <f ca="1">IF(COUNT(F11:K11)=0,"",SUM(F11:K11))</f>
        <v>-22</v>
      </c>
      <c r="N11" s="221"/>
    </row>
    <row r="12" spans="2:17" ht="24" customHeight="1" x14ac:dyDescent="0.25">
      <c r="B12" s="139">
        <v>5</v>
      </c>
      <c r="C12" s="136" t="s">
        <v>72</v>
      </c>
      <c r="D12" s="137"/>
      <c r="E12" s="138"/>
      <c r="F12" s="12" t="str">
        <f ca="1">INDIRECT(ADDRESS(42,6))&amp;":"&amp;INDIRECT(ADDRESS(42,7))</f>
        <v>13:8</v>
      </c>
      <c r="G12" s="7" t="str">
        <f ca="1">INDIRECT(ADDRESS(21,7))&amp;":"&amp;INDIRECT(ADDRESS(21,6))</f>
        <v>13:11</v>
      </c>
      <c r="H12" s="7" t="str">
        <f ca="1">INDIRECT(ADDRESS(26,6))&amp;":"&amp;INDIRECT(ADDRESS(26,7))</f>
        <v>11:10</v>
      </c>
      <c r="I12" s="7" t="str">
        <f ca="1">INDIRECT(ADDRESS(32,7))&amp;":"&amp;INDIRECT(ADDRESS(32,6))</f>
        <v>13:11</v>
      </c>
      <c r="J12" s="8" t="s">
        <v>24</v>
      </c>
      <c r="K12" s="11" t="str">
        <f ca="1">INDIRECT(ADDRESS(35,7))&amp;":"&amp;INDIRECT(ADDRESS(35,6))</f>
        <v>13:3</v>
      </c>
      <c r="L12" s="245">
        <f ca="1">IF(COUNT(F13:K13)=0,"",COUNTIF(F13:K13,"&gt;0")+0.5*COUNTIF(F13:K13,0))</f>
        <v>5</v>
      </c>
      <c r="M12" s="16"/>
      <c r="N12" s="246">
        <v>1</v>
      </c>
    </row>
    <row r="13" spans="2:17" ht="24" customHeight="1" x14ac:dyDescent="0.25">
      <c r="B13" s="132"/>
      <c r="C13" s="136"/>
      <c r="D13" s="137"/>
      <c r="E13" s="138"/>
      <c r="F13" s="22">
        <f ca="1">IF(LEN(INDIRECT(ADDRESS(ROW()-1, COLUMN())))=1,"",INDIRECT(ADDRESS(42,6))-INDIRECT(ADDRESS(42,7)))</f>
        <v>5</v>
      </c>
      <c r="G13" s="16">
        <f ca="1">IF(LEN(INDIRECT(ADDRESS(ROW()-1, COLUMN())))=1,"",INDIRECT(ADDRESS(21,7))-INDIRECT(ADDRESS(21,6)))</f>
        <v>2</v>
      </c>
      <c r="H13" s="16">
        <f ca="1">IF(LEN(INDIRECT(ADDRESS(ROW()-1, COLUMN())))=1,"",INDIRECT(ADDRESS(26,6))-INDIRECT(ADDRESS(26,7)))</f>
        <v>1</v>
      </c>
      <c r="I13" s="16">
        <f ca="1">IF(LEN(INDIRECT(ADDRESS(ROW()-1, COLUMN())))=1,"",INDIRECT(ADDRESS(32,7))-INDIRECT(ADDRESS(32,6)))</f>
        <v>2</v>
      </c>
      <c r="J13" s="14" t="s">
        <v>24</v>
      </c>
      <c r="K13" s="17">
        <f ca="1">IF(LEN(INDIRECT(ADDRESS(ROW()-1, COLUMN())))=1,"",INDIRECT(ADDRESS(35,7))-INDIRECT(ADDRESS(35,6)))</f>
        <v>10</v>
      </c>
      <c r="L13" s="245"/>
      <c r="M13" s="16">
        <f ca="1">IF(COUNT(F13:K13)=0,"",SUM(F13:K13))</f>
        <v>20</v>
      </c>
      <c r="N13" s="221"/>
    </row>
    <row r="14" spans="2:17" ht="24" customHeight="1" x14ac:dyDescent="0.25">
      <c r="B14" s="139">
        <v>6</v>
      </c>
      <c r="C14" s="140" t="s">
        <v>73</v>
      </c>
      <c r="D14" s="141"/>
      <c r="E14" s="142"/>
      <c r="F14" s="12" t="str">
        <f ca="1">INDIRECT(ADDRESS(20,7))&amp;":"&amp;INDIRECT(ADDRESS(20,6))</f>
        <v>12:13</v>
      </c>
      <c r="G14" s="7" t="str">
        <f ca="1">INDIRECT(ADDRESS(30,7))&amp;":"&amp;INDIRECT(ADDRESS(30,6))</f>
        <v>9:13</v>
      </c>
      <c r="H14" s="7" t="str">
        <f ca="1">INDIRECT(ADDRESS(40,7))&amp;":"&amp;INDIRECT(ADDRESS(40,6))</f>
        <v>13:12</v>
      </c>
      <c r="I14" s="7" t="str">
        <f ca="1">INDIRECT(ADDRESS(25,6))&amp;":"&amp;INDIRECT(ADDRESS(25,7))</f>
        <v>12:13</v>
      </c>
      <c r="J14" s="7" t="str">
        <f ca="1">INDIRECT(ADDRESS(35,6))&amp;":"&amp;INDIRECT(ADDRESS(35,7))</f>
        <v>3:13</v>
      </c>
      <c r="K14" s="34" t="s">
        <v>24</v>
      </c>
      <c r="L14" s="245">
        <f ca="1">IF(COUNT(F15:K15)=0,"",COUNTIF(F15:K15,"&gt;0")+0.5*COUNTIF(F15:K15,0))</f>
        <v>1</v>
      </c>
      <c r="M14" s="16"/>
      <c r="N14" s="246">
        <v>6</v>
      </c>
    </row>
    <row r="15" spans="2:17" ht="24" customHeight="1" thickBot="1" x14ac:dyDescent="0.3">
      <c r="B15" s="143"/>
      <c r="C15" s="144"/>
      <c r="D15" s="145"/>
      <c r="E15" s="146"/>
      <c r="F15" s="19">
        <f ca="1">IF(LEN(INDIRECT(ADDRESS(ROW()-1, COLUMN())))=1,"",INDIRECT(ADDRESS(20,7))-INDIRECT(ADDRESS(20,6)))</f>
        <v>-1</v>
      </c>
      <c r="G15" s="18">
        <f ca="1">IF(LEN(INDIRECT(ADDRESS(ROW()-1, COLUMN())))=1,"",INDIRECT(ADDRESS(30,7))-INDIRECT(ADDRESS(30,6)))</f>
        <v>-4</v>
      </c>
      <c r="H15" s="18">
        <f ca="1">IF(LEN(INDIRECT(ADDRESS(ROW()-1, COLUMN())))=1,"",INDIRECT(ADDRESS(40,7))-INDIRECT(ADDRESS(40,6)))</f>
        <v>1</v>
      </c>
      <c r="I15" s="18">
        <f ca="1">IF(LEN(INDIRECT(ADDRESS(ROW()-1, COLUMN())))=1,"",INDIRECT(ADDRESS(25,6))-INDIRECT(ADDRESS(25,7)))</f>
        <v>-1</v>
      </c>
      <c r="J15" s="18">
        <f ca="1">IF(LEN(INDIRECT(ADDRESS(ROW()-1, COLUMN())))=1,"",INDIRECT(ADDRESS(35,6))-INDIRECT(ADDRESS(35,7)))</f>
        <v>-10</v>
      </c>
      <c r="K15" s="15" t="s">
        <v>24</v>
      </c>
      <c r="L15" s="248"/>
      <c r="M15" s="18">
        <f ca="1">IF(COUNT(F15:K15)=0,"",SUM(F15:K15))</f>
        <v>-15</v>
      </c>
      <c r="N15" s="247"/>
    </row>
    <row r="16" spans="2:17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147" t="s">
        <v>4</v>
      </c>
      <c r="C19" s="147"/>
      <c r="D19" s="147"/>
      <c r="E19" s="147"/>
      <c r="F19" s="147"/>
      <c r="G19" s="147"/>
      <c r="H19" s="147"/>
      <c r="I19" s="147"/>
      <c r="J19" s="147"/>
      <c r="K19" s="147"/>
      <c r="M19"/>
    </row>
    <row r="20" spans="2:13" ht="30" customHeight="1" thickBot="1" x14ac:dyDescent="0.3">
      <c r="B20" s="5">
        <v>1</v>
      </c>
      <c r="C20" s="177" t="str">
        <f ca="1">IF(ISBLANK(INDIRECT(ADDRESS(B20*2+2,3))),"",INDIRECT(ADDRESS(B20*2+2,3)))</f>
        <v>Мишин Дмитрий</v>
      </c>
      <c r="D20" s="177"/>
      <c r="E20" s="178"/>
      <c r="F20" s="24">
        <v>13</v>
      </c>
      <c r="G20" s="25">
        <v>12</v>
      </c>
      <c r="H20" s="181" t="str">
        <f ca="1">IF(ISBLANK(INDIRECT(ADDRESS(K20*2+2,3))),"",INDIRECT(ADDRESS(K20*2+2,3)))</f>
        <v>Карепов Маколей</v>
      </c>
      <c r="I20" s="177"/>
      <c r="J20" s="177"/>
      <c r="K20" s="5">
        <v>6</v>
      </c>
      <c r="L20" s="27" t="s">
        <v>10</v>
      </c>
      <c r="M20" s="26"/>
    </row>
    <row r="21" spans="2:13" ht="30" customHeight="1" thickBot="1" x14ac:dyDescent="0.3">
      <c r="B21" s="5">
        <v>2</v>
      </c>
      <c r="C21" s="177" t="str">
        <f ca="1">IF(ISBLANK(INDIRECT(ADDRESS(B21*2+2,3))),"",INDIRECT(ADDRESS(B21*2+2,3)))</f>
        <v>Худяков Юрий</v>
      </c>
      <c r="D21" s="177"/>
      <c r="E21" s="178"/>
      <c r="F21" s="24">
        <v>11</v>
      </c>
      <c r="G21" s="25">
        <v>13</v>
      </c>
      <c r="H21" s="181" t="str">
        <f ca="1">IF(ISBLANK(INDIRECT(ADDRESS(K21*2+2,3))),"",INDIRECT(ADDRESS(K21*2+2,3)))</f>
        <v>Домбровский Сергей</v>
      </c>
      <c r="I21" s="177"/>
      <c r="J21" s="177"/>
      <c r="K21" s="5">
        <v>5</v>
      </c>
      <c r="L21" s="27" t="s">
        <v>10</v>
      </c>
      <c r="M21" s="26"/>
    </row>
    <row r="22" spans="2:13" ht="30" customHeight="1" thickBot="1" x14ac:dyDescent="0.3">
      <c r="B22" s="5">
        <v>3</v>
      </c>
      <c r="C22" s="177" t="str">
        <f ca="1">IF(ISBLANK(INDIRECT(ADDRESS(B22*2+2,3))),"",INDIRECT(ADDRESS(B22*2+2,3)))</f>
        <v>Северов Михаил</v>
      </c>
      <c r="D22" s="177"/>
      <c r="E22" s="178"/>
      <c r="F22" s="24">
        <v>13</v>
      </c>
      <c r="G22" s="25">
        <v>3</v>
      </c>
      <c r="H22" s="181" t="str">
        <f ca="1">IF(ISBLANK(INDIRECT(ADDRESS(K22*2+2,3))),"",INDIRECT(ADDRESS(K22*2+2,3)))</f>
        <v>Мишарин Олег</v>
      </c>
      <c r="I22" s="177"/>
      <c r="J22" s="177"/>
      <c r="K22" s="5">
        <v>4</v>
      </c>
      <c r="L22" s="27" t="s">
        <v>10</v>
      </c>
      <c r="M22" s="26"/>
    </row>
    <row r="23" spans="2:13" ht="30" customHeight="1" x14ac:dyDescent="0.25"/>
    <row r="24" spans="2:13" ht="30" customHeight="1" thickBot="1" x14ac:dyDescent="0.3">
      <c r="B24" s="147" t="s">
        <v>5</v>
      </c>
      <c r="C24" s="147"/>
      <c r="D24" s="147"/>
      <c r="E24" s="147"/>
      <c r="F24" s="147"/>
      <c r="G24" s="147"/>
      <c r="H24" s="147"/>
      <c r="I24" s="147"/>
      <c r="J24" s="147"/>
      <c r="K24" s="147"/>
    </row>
    <row r="25" spans="2:13" ht="30" customHeight="1" thickBot="1" x14ac:dyDescent="0.3">
      <c r="B25" s="5">
        <v>6</v>
      </c>
      <c r="C25" s="177" t="str">
        <f ca="1">IF(ISBLANK(INDIRECT(ADDRESS(B25*2+2,3))),"",INDIRECT(ADDRESS(B25*2+2,3)))</f>
        <v>Карепов Маколей</v>
      </c>
      <c r="D25" s="177"/>
      <c r="E25" s="178"/>
      <c r="F25" s="24">
        <v>12</v>
      </c>
      <c r="G25" s="25">
        <v>13</v>
      </c>
      <c r="H25" s="181" t="str">
        <f ca="1">IF(ISBLANK(INDIRECT(ADDRESS(K25*2+2,3))),"",INDIRECT(ADDRESS(K25*2+2,3)))</f>
        <v>Мишарин Олег</v>
      </c>
      <c r="I25" s="177"/>
      <c r="J25" s="177"/>
      <c r="K25" s="5">
        <v>4</v>
      </c>
      <c r="L25" s="27" t="s">
        <v>10</v>
      </c>
      <c r="M25" s="26"/>
    </row>
    <row r="26" spans="2:13" ht="30" customHeight="1" thickBot="1" x14ac:dyDescent="0.3">
      <c r="B26" s="5">
        <v>5</v>
      </c>
      <c r="C26" s="177" t="str">
        <f ca="1">IF(ISBLANK(INDIRECT(ADDRESS(B26*2+2,3))),"",INDIRECT(ADDRESS(B26*2+2,3)))</f>
        <v>Домбровский Сергей</v>
      </c>
      <c r="D26" s="177"/>
      <c r="E26" s="178"/>
      <c r="F26" s="24">
        <v>11</v>
      </c>
      <c r="G26" s="25">
        <v>10</v>
      </c>
      <c r="H26" s="181" t="str">
        <f ca="1">IF(ISBLANK(INDIRECT(ADDRESS(K26*2+2,3))),"",INDIRECT(ADDRESS(K26*2+2,3)))</f>
        <v>Северов Михаил</v>
      </c>
      <c r="I26" s="177"/>
      <c r="J26" s="177"/>
      <c r="K26" s="5">
        <v>3</v>
      </c>
      <c r="L26" s="27" t="s">
        <v>10</v>
      </c>
      <c r="M26" s="26"/>
    </row>
    <row r="27" spans="2:13" ht="30" customHeight="1" thickBot="1" x14ac:dyDescent="0.3">
      <c r="B27" s="5">
        <v>1</v>
      </c>
      <c r="C27" s="177" t="str">
        <f ca="1">IF(ISBLANK(INDIRECT(ADDRESS(B27*2+2,3))),"",INDIRECT(ADDRESS(B27*2+2,3)))</f>
        <v>Мишин Дмитрий</v>
      </c>
      <c r="D27" s="177"/>
      <c r="E27" s="178"/>
      <c r="F27" s="24">
        <v>13</v>
      </c>
      <c r="G27" s="25">
        <v>3</v>
      </c>
      <c r="H27" s="181" t="str">
        <f ca="1">IF(ISBLANK(INDIRECT(ADDRESS(K27*2+2,3))),"",INDIRECT(ADDRESS(K27*2+2,3)))</f>
        <v>Худяков Юрий</v>
      </c>
      <c r="I27" s="177"/>
      <c r="J27" s="177"/>
      <c r="K27" s="5">
        <v>2</v>
      </c>
      <c r="L27" s="27" t="s">
        <v>10</v>
      </c>
      <c r="M27" s="26"/>
    </row>
    <row r="28" spans="2:13" ht="30" customHeight="1" x14ac:dyDescent="0.25"/>
    <row r="29" spans="2:13" ht="30" customHeight="1" thickBot="1" x14ac:dyDescent="0.3">
      <c r="B29" s="147" t="s">
        <v>6</v>
      </c>
      <c r="C29" s="147"/>
      <c r="D29" s="147"/>
      <c r="E29" s="147"/>
      <c r="F29" s="147"/>
      <c r="G29" s="147"/>
      <c r="H29" s="147"/>
      <c r="I29" s="147"/>
      <c r="J29" s="147"/>
      <c r="K29" s="147"/>
    </row>
    <row r="30" spans="2:13" ht="30" customHeight="1" thickBot="1" x14ac:dyDescent="0.3">
      <c r="B30" s="5">
        <v>2</v>
      </c>
      <c r="C30" s="177" t="str">
        <f ca="1">IF(ISBLANK(INDIRECT(ADDRESS(B30*2+2,3))),"",INDIRECT(ADDRESS(B30*2+2,3)))</f>
        <v>Худяков Юрий</v>
      </c>
      <c r="D30" s="177"/>
      <c r="E30" s="178"/>
      <c r="F30" s="24">
        <v>13</v>
      </c>
      <c r="G30" s="25">
        <v>9</v>
      </c>
      <c r="H30" s="181" t="str">
        <f ca="1">IF(ISBLANK(INDIRECT(ADDRESS(K30*2+2,3))),"",INDIRECT(ADDRESS(K30*2+2,3)))</f>
        <v>Карепов Маколей</v>
      </c>
      <c r="I30" s="177"/>
      <c r="J30" s="177"/>
      <c r="K30" s="5">
        <v>6</v>
      </c>
      <c r="L30" s="27" t="s">
        <v>10</v>
      </c>
      <c r="M30" s="26"/>
    </row>
    <row r="31" spans="2:13" ht="30" customHeight="1" thickBot="1" x14ac:dyDescent="0.3">
      <c r="B31" s="5">
        <v>3</v>
      </c>
      <c r="C31" s="177" t="str">
        <f ca="1">IF(ISBLANK(INDIRECT(ADDRESS(B31*2+2,3))),"",INDIRECT(ADDRESS(B31*2+2,3)))</f>
        <v>Северов Михаил</v>
      </c>
      <c r="D31" s="177"/>
      <c r="E31" s="178"/>
      <c r="F31" s="24">
        <v>13</v>
      </c>
      <c r="G31" s="25">
        <v>4</v>
      </c>
      <c r="H31" s="181" t="str">
        <f ca="1">IF(ISBLANK(INDIRECT(ADDRESS(K31*2+2,3))),"",INDIRECT(ADDRESS(K31*2+2,3)))</f>
        <v>Мишин Дмитрий</v>
      </c>
      <c r="I31" s="177"/>
      <c r="J31" s="177"/>
      <c r="K31" s="5">
        <v>1</v>
      </c>
      <c r="L31" s="27" t="s">
        <v>10</v>
      </c>
      <c r="M31" s="26"/>
    </row>
    <row r="32" spans="2:13" ht="30" customHeight="1" thickBot="1" x14ac:dyDescent="0.3">
      <c r="B32" s="5">
        <v>4</v>
      </c>
      <c r="C32" s="177" t="str">
        <f ca="1">IF(ISBLANK(INDIRECT(ADDRESS(B32*2+2,3))),"",INDIRECT(ADDRESS(B32*2+2,3)))</f>
        <v>Мишарин Олег</v>
      </c>
      <c r="D32" s="177"/>
      <c r="E32" s="178"/>
      <c r="F32" s="24">
        <v>11</v>
      </c>
      <c r="G32" s="25">
        <v>13</v>
      </c>
      <c r="H32" s="181" t="str">
        <f ca="1">IF(ISBLANK(INDIRECT(ADDRESS(K32*2+2,3))),"",INDIRECT(ADDRESS(K32*2+2,3)))</f>
        <v>Домбровский Сергей</v>
      </c>
      <c r="I32" s="177"/>
      <c r="J32" s="177"/>
      <c r="K32" s="5">
        <v>5</v>
      </c>
      <c r="L32" s="27" t="s">
        <v>10</v>
      </c>
      <c r="M32" s="26"/>
    </row>
    <row r="33" spans="2:13" ht="30" customHeight="1" x14ac:dyDescent="0.25"/>
    <row r="34" spans="2:13" ht="30" customHeight="1" thickBot="1" x14ac:dyDescent="0.3">
      <c r="B34" s="147" t="s">
        <v>7</v>
      </c>
      <c r="C34" s="147"/>
      <c r="D34" s="147"/>
      <c r="E34" s="147"/>
      <c r="F34" s="147"/>
      <c r="G34" s="147"/>
      <c r="H34" s="147"/>
      <c r="I34" s="147"/>
      <c r="J34" s="147"/>
      <c r="K34" s="147"/>
    </row>
    <row r="35" spans="2:13" ht="30" customHeight="1" thickBot="1" x14ac:dyDescent="0.3">
      <c r="B35" s="5">
        <v>6</v>
      </c>
      <c r="C35" s="177" t="str">
        <f ca="1">IF(ISBLANK(INDIRECT(ADDRESS(B35*2+2,3))),"",INDIRECT(ADDRESS(B35*2+2,3)))</f>
        <v>Карепов Маколей</v>
      </c>
      <c r="D35" s="177"/>
      <c r="E35" s="178"/>
      <c r="F35" s="24">
        <v>3</v>
      </c>
      <c r="G35" s="25">
        <v>13</v>
      </c>
      <c r="H35" s="181" t="str">
        <f ca="1">IF(ISBLANK(INDIRECT(ADDRESS(K35*2+2,3))),"",INDIRECT(ADDRESS(K35*2+2,3)))</f>
        <v>Домбровский Сергей</v>
      </c>
      <c r="I35" s="177"/>
      <c r="J35" s="177"/>
      <c r="K35" s="5">
        <v>5</v>
      </c>
      <c r="L35" s="27" t="s">
        <v>10</v>
      </c>
      <c r="M35" s="26"/>
    </row>
    <row r="36" spans="2:13" ht="30" customHeight="1" thickBot="1" x14ac:dyDescent="0.3">
      <c r="B36" s="5">
        <v>1</v>
      </c>
      <c r="C36" s="177" t="str">
        <f ca="1">IF(ISBLANK(INDIRECT(ADDRESS(B36*2+2,3))),"",INDIRECT(ADDRESS(B36*2+2,3)))</f>
        <v>Мишин Дмитрий</v>
      </c>
      <c r="D36" s="177"/>
      <c r="E36" s="178"/>
      <c r="F36" s="24">
        <v>13</v>
      </c>
      <c r="G36" s="25">
        <v>6</v>
      </c>
      <c r="H36" s="181" t="str">
        <f ca="1">IF(ISBLANK(INDIRECT(ADDRESS(K36*2+2,3))),"",INDIRECT(ADDRESS(K36*2+2,3)))</f>
        <v>Мишарин Олег</v>
      </c>
      <c r="I36" s="177"/>
      <c r="J36" s="177"/>
      <c r="K36" s="5">
        <v>4</v>
      </c>
      <c r="L36" s="27" t="s">
        <v>10</v>
      </c>
      <c r="M36" s="26"/>
    </row>
    <row r="37" spans="2:13" ht="30" customHeight="1" thickBot="1" x14ac:dyDescent="0.3">
      <c r="B37" s="5">
        <v>2</v>
      </c>
      <c r="C37" s="177" t="str">
        <f ca="1">IF(ISBLANK(INDIRECT(ADDRESS(B37*2+2,3))),"",INDIRECT(ADDRESS(B37*2+2,3)))</f>
        <v>Худяков Юрий</v>
      </c>
      <c r="D37" s="177"/>
      <c r="E37" s="178"/>
      <c r="F37" s="24">
        <v>8</v>
      </c>
      <c r="G37" s="25">
        <v>13</v>
      </c>
      <c r="H37" s="181" t="str">
        <f ca="1">IF(ISBLANK(INDIRECT(ADDRESS(K37*2+2,3))),"",INDIRECT(ADDRESS(K37*2+2,3)))</f>
        <v>Северов Михаил</v>
      </c>
      <c r="I37" s="177"/>
      <c r="J37" s="177"/>
      <c r="K37" s="5">
        <v>3</v>
      </c>
      <c r="L37" s="27" t="s">
        <v>10</v>
      </c>
      <c r="M37" s="26"/>
    </row>
    <row r="38" spans="2:13" ht="30" customHeight="1" x14ac:dyDescent="0.25"/>
    <row r="39" spans="2:13" ht="30" customHeight="1" thickBot="1" x14ac:dyDescent="0.3"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</row>
    <row r="40" spans="2:13" ht="30" customHeight="1" thickBot="1" x14ac:dyDescent="0.3">
      <c r="B40" s="5">
        <v>3</v>
      </c>
      <c r="C40" s="177" t="str">
        <f ca="1">IF(ISBLANK(INDIRECT(ADDRESS(B40*2+2,3))),"",INDIRECT(ADDRESS(B40*2+2,3)))</f>
        <v>Северов Михаил</v>
      </c>
      <c r="D40" s="177"/>
      <c r="E40" s="178"/>
      <c r="F40" s="24">
        <v>12</v>
      </c>
      <c r="G40" s="25">
        <v>13</v>
      </c>
      <c r="H40" s="181" t="str">
        <f ca="1">IF(ISBLANK(INDIRECT(ADDRESS(K40*2+2,3))),"",INDIRECT(ADDRESS(K40*2+2,3)))</f>
        <v>Карепов Маколей</v>
      </c>
      <c r="I40" s="177"/>
      <c r="J40" s="177"/>
      <c r="K40" s="5">
        <v>6</v>
      </c>
      <c r="L40" s="27" t="s">
        <v>10</v>
      </c>
      <c r="M40" s="26"/>
    </row>
    <row r="41" spans="2:13" ht="30" customHeight="1" thickBot="1" x14ac:dyDescent="0.3">
      <c r="B41" s="5">
        <v>4</v>
      </c>
      <c r="C41" s="177" t="str">
        <f ca="1">IF(ISBLANK(INDIRECT(ADDRESS(B41*2+2,3))),"",INDIRECT(ADDRESS(B41*2+2,3)))</f>
        <v>Мишарин Олег</v>
      </c>
      <c r="D41" s="177"/>
      <c r="E41" s="178"/>
      <c r="F41" s="24">
        <v>9</v>
      </c>
      <c r="G41" s="25">
        <v>13</v>
      </c>
      <c r="H41" s="181" t="str">
        <f ca="1">IF(ISBLANK(INDIRECT(ADDRESS(K41*2+2,3))),"",INDIRECT(ADDRESS(K41*2+2,3)))</f>
        <v>Худяков Юрий</v>
      </c>
      <c r="I41" s="177"/>
      <c r="J41" s="177"/>
      <c r="K41" s="5">
        <v>2</v>
      </c>
      <c r="L41" s="27" t="s">
        <v>10</v>
      </c>
      <c r="M41" s="26"/>
    </row>
    <row r="42" spans="2:13" ht="30" customHeight="1" thickBot="1" x14ac:dyDescent="0.3">
      <c r="B42" s="5">
        <v>5</v>
      </c>
      <c r="C42" s="177" t="str">
        <f ca="1">IF(ISBLANK(INDIRECT(ADDRESS(B42*2+2,3))),"",INDIRECT(ADDRESS(B42*2+2,3)))</f>
        <v>Домбровский Сергей</v>
      </c>
      <c r="D42" s="177"/>
      <c r="E42" s="178"/>
      <c r="F42" s="24">
        <v>13</v>
      </c>
      <c r="G42" s="25">
        <v>8</v>
      </c>
      <c r="H42" s="181" t="str">
        <f ca="1">IF(ISBLANK(INDIRECT(ADDRESS(K42*2+2,3))),"",INDIRECT(ADDRESS(K42*2+2,3)))</f>
        <v>Мишин Дмитрий</v>
      </c>
      <c r="I42" s="177"/>
      <c r="J42" s="177"/>
      <c r="K42" s="5">
        <v>1</v>
      </c>
      <c r="L42" s="27" t="s">
        <v>10</v>
      </c>
      <c r="M42" s="26"/>
    </row>
  </sheetData>
  <mergeCells count="61"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B6:B7"/>
    <mergeCell ref="C6:E7"/>
    <mergeCell ref="L6:L7"/>
    <mergeCell ref="N6:N7"/>
    <mergeCell ref="B8:B9"/>
    <mergeCell ref="C8:E9"/>
    <mergeCell ref="L8:L9"/>
    <mergeCell ref="N8:N9"/>
    <mergeCell ref="N4:N5"/>
    <mergeCell ref="B1:K1"/>
    <mergeCell ref="C3:E3"/>
    <mergeCell ref="B4:B5"/>
    <mergeCell ref="C4:E5"/>
    <mergeCell ref="L4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12" sqref="C12:E13"/>
    </sheetView>
  </sheetViews>
  <sheetFormatPr defaultRowHeight="15" x14ac:dyDescent="0.25"/>
  <cols>
    <col min="1" max="1" width="4" style="30" customWidth="1"/>
    <col min="2" max="12" width="10.28515625" customWidth="1"/>
    <col min="13" max="13" width="10.28515625" style="28" customWidth="1"/>
    <col min="14" max="15" width="10.28515625" customWidth="1"/>
  </cols>
  <sheetData>
    <row r="1" spans="2:14" ht="59.25" customHeight="1" x14ac:dyDescent="0.25">
      <c r="B1" s="127" t="s">
        <v>74</v>
      </c>
      <c r="C1" s="127"/>
      <c r="D1" s="127"/>
      <c r="E1" s="127"/>
      <c r="F1" s="127"/>
      <c r="G1" s="127"/>
      <c r="H1" s="127"/>
      <c r="I1" s="127"/>
      <c r="J1" s="127"/>
      <c r="K1" s="127"/>
      <c r="L1" t="s">
        <v>18</v>
      </c>
      <c r="M1"/>
      <c r="N1" s="31">
        <v>46040</v>
      </c>
    </row>
    <row r="2" spans="2:14" ht="15.75" thickBot="1" x14ac:dyDescent="0.3">
      <c r="M2"/>
    </row>
    <row r="3" spans="2:14" ht="30" customHeight="1" thickBot="1" x14ac:dyDescent="0.3">
      <c r="B3" s="42"/>
      <c r="C3" s="128" t="s">
        <v>0</v>
      </c>
      <c r="D3" s="129"/>
      <c r="E3" s="130"/>
      <c r="F3" s="1">
        <v>1</v>
      </c>
      <c r="G3" s="1">
        <v>2</v>
      </c>
      <c r="H3" s="1">
        <v>3</v>
      </c>
      <c r="I3" s="2">
        <v>4</v>
      </c>
      <c r="J3" s="2">
        <v>5</v>
      </c>
      <c r="K3" s="2">
        <v>6</v>
      </c>
      <c r="L3" s="3" t="s">
        <v>1</v>
      </c>
      <c r="M3" s="1" t="s">
        <v>3</v>
      </c>
      <c r="N3" s="4" t="s">
        <v>2</v>
      </c>
    </row>
    <row r="4" spans="2:14" ht="24" customHeight="1" x14ac:dyDescent="0.25">
      <c r="B4" s="131">
        <v>1</v>
      </c>
      <c r="C4" s="133" t="s">
        <v>116</v>
      </c>
      <c r="D4" s="134"/>
      <c r="E4" s="135"/>
      <c r="F4" s="10" t="s">
        <v>24</v>
      </c>
      <c r="G4" s="6" t="str">
        <f ca="1">INDIRECT(ADDRESS(27,6))&amp;":"&amp;INDIRECT(ADDRESS(27,7))</f>
        <v>13:10</v>
      </c>
      <c r="H4" s="6" t="str">
        <f ca="1">INDIRECT(ADDRESS(31,7))&amp;":"&amp;INDIRECT(ADDRESS(31,6))</f>
        <v>13:2</v>
      </c>
      <c r="I4" s="6" t="str">
        <f ca="1">INDIRECT(ADDRESS(36,6))&amp;":"&amp;INDIRECT(ADDRESS(36,7))</f>
        <v>13:3</v>
      </c>
      <c r="J4" s="6" t="str">
        <f ca="1">INDIRECT(ADDRESS(42,7))&amp;":"&amp;INDIRECT(ADDRESS(42,6))</f>
        <v>13:8</v>
      </c>
      <c r="K4" s="20" t="str">
        <f ca="1">INDIRECT(ADDRESS(20,6))&amp;":"&amp;INDIRECT(ADDRESS(20,7))</f>
        <v>13:7</v>
      </c>
      <c r="L4" s="244">
        <f ca="1">IF(COUNT(F5:K5)=0,"",COUNTIF(F5:K5,"&gt;0")+0.5*COUNTIF(F5:K5,0))</f>
        <v>5</v>
      </c>
      <c r="M4" s="23"/>
      <c r="N4" s="219">
        <v>1</v>
      </c>
    </row>
    <row r="5" spans="2:14" ht="24" customHeight="1" x14ac:dyDescent="0.25">
      <c r="B5" s="132"/>
      <c r="C5" s="136"/>
      <c r="D5" s="137"/>
      <c r="E5" s="138"/>
      <c r="F5" s="13" t="s">
        <v>24</v>
      </c>
      <c r="G5" s="16">
        <f ca="1">IF(LEN(INDIRECT(ADDRESS(ROW()-1, COLUMN())))=1,"",INDIRECT(ADDRESS(27,6))-INDIRECT(ADDRESS(27,7)))</f>
        <v>3</v>
      </c>
      <c r="H5" s="16">
        <f ca="1">IF(LEN(INDIRECT(ADDRESS(ROW()-1, COLUMN())))=1,"",INDIRECT(ADDRESS(31,7))-INDIRECT(ADDRESS(31,6)))</f>
        <v>11</v>
      </c>
      <c r="I5" s="16">
        <f ca="1">IF(LEN(INDIRECT(ADDRESS(ROW()-1, COLUMN())))=1,"",INDIRECT(ADDRESS(36,6))-INDIRECT(ADDRESS(36,7)))</f>
        <v>10</v>
      </c>
      <c r="J5" s="16">
        <f ca="1">IF(LEN(INDIRECT(ADDRESS(ROW()-1, COLUMN())))=1,"",INDIRECT(ADDRESS(42,7))-INDIRECT(ADDRESS(42,6)))</f>
        <v>5</v>
      </c>
      <c r="K5" s="17">
        <f ca="1">IF(LEN(INDIRECT(ADDRESS(ROW()-1, COLUMN())))=1,"",INDIRECT(ADDRESS(20,6))-INDIRECT(ADDRESS(20,7)))</f>
        <v>6</v>
      </c>
      <c r="L5" s="245"/>
      <c r="M5" s="16">
        <f ca="1">IF(COUNT(F5:K5)=0,"",SUM(F5:K5))</f>
        <v>35</v>
      </c>
      <c r="N5" s="221"/>
    </row>
    <row r="6" spans="2:14" ht="24" customHeight="1" x14ac:dyDescent="0.25">
      <c r="B6" s="139">
        <v>2</v>
      </c>
      <c r="C6" s="152" t="s">
        <v>117</v>
      </c>
      <c r="D6" s="153"/>
      <c r="E6" s="154"/>
      <c r="F6" s="12" t="str">
        <f ca="1">INDIRECT(ADDRESS(27,7))&amp;":"&amp;INDIRECT(ADDRESS(27,6))</f>
        <v>10:13</v>
      </c>
      <c r="G6" s="8" t="s">
        <v>24</v>
      </c>
      <c r="H6" s="7" t="str">
        <f ca="1">INDIRECT(ADDRESS(37,6))&amp;":"&amp;INDIRECT(ADDRESS(37,7))</f>
        <v>13:7</v>
      </c>
      <c r="I6" s="7" t="str">
        <f ca="1">INDIRECT(ADDRESS(41,7))&amp;":"&amp;INDIRECT(ADDRESS(41,6))</f>
        <v>13:3</v>
      </c>
      <c r="J6" s="7" t="str">
        <f ca="1">INDIRECT(ADDRESS(21,6))&amp;":"&amp;INDIRECT(ADDRESS(21,7))</f>
        <v>5:13</v>
      </c>
      <c r="K6" s="11" t="str">
        <f ca="1">INDIRECT(ADDRESS(30,6))&amp;":"&amp;INDIRECT(ADDRESS(30,7))</f>
        <v>13:2</v>
      </c>
      <c r="L6" s="245">
        <f ca="1">IF(COUNT(F7:K7)=0,"",COUNTIF(F7:K7,"&gt;0")+0.5*COUNTIF(F7:K7,0))</f>
        <v>3</v>
      </c>
      <c r="M6" s="16">
        <v>-2</v>
      </c>
      <c r="N6" s="246">
        <v>3</v>
      </c>
    </row>
    <row r="7" spans="2:14" ht="24" customHeight="1" x14ac:dyDescent="0.25">
      <c r="B7" s="132"/>
      <c r="C7" s="152"/>
      <c r="D7" s="153"/>
      <c r="E7" s="154"/>
      <c r="F7" s="22">
        <f ca="1">IF(LEN(INDIRECT(ADDRESS(ROW()-1, COLUMN())))=1,"",INDIRECT(ADDRESS(27,7))-INDIRECT(ADDRESS(27,6)))</f>
        <v>-3</v>
      </c>
      <c r="G7" s="14" t="s">
        <v>24</v>
      </c>
      <c r="H7" s="16">
        <f ca="1">IF(LEN(INDIRECT(ADDRESS(ROW()-1, COLUMN())))=1,"",INDIRECT(ADDRESS(37,6))-INDIRECT(ADDRESS(37,7)))</f>
        <v>6</v>
      </c>
      <c r="I7" s="16">
        <f ca="1">IF(LEN(INDIRECT(ADDRESS(ROW()-1, COLUMN())))=1,"",INDIRECT(ADDRESS(41,7))-INDIRECT(ADDRESS(41,6)))</f>
        <v>10</v>
      </c>
      <c r="J7" s="16">
        <f ca="1">IF(LEN(INDIRECT(ADDRESS(ROW()-1, COLUMN())))=1,"",INDIRECT(ADDRESS(21,6))-INDIRECT(ADDRESS(21,7)))</f>
        <v>-8</v>
      </c>
      <c r="K7" s="17">
        <f ca="1">IF(LEN(INDIRECT(ADDRESS(ROW()-1, COLUMN())))=1,"",INDIRECT(ADDRESS(30,6))-INDIRECT(ADDRESS(30,7)))</f>
        <v>11</v>
      </c>
      <c r="L7" s="245"/>
      <c r="M7" s="16">
        <f ca="1">IF(COUNT(F7:K7)=0,"",SUM(F7:K7))</f>
        <v>16</v>
      </c>
      <c r="N7" s="221"/>
    </row>
    <row r="8" spans="2:14" ht="24" customHeight="1" x14ac:dyDescent="0.25">
      <c r="B8" s="139">
        <v>3</v>
      </c>
      <c r="C8" s="140" t="s">
        <v>118</v>
      </c>
      <c r="D8" s="141"/>
      <c r="E8" s="142"/>
      <c r="F8" s="12" t="str">
        <f ca="1">INDIRECT(ADDRESS(31,6))&amp;":"&amp;INDIRECT(ADDRESS(31,7))</f>
        <v>2:13</v>
      </c>
      <c r="G8" s="7" t="str">
        <f ca="1">INDIRECT(ADDRESS(37,7))&amp;":"&amp;INDIRECT(ADDRESS(37,6))</f>
        <v>7:13</v>
      </c>
      <c r="H8" s="8" t="s">
        <v>24</v>
      </c>
      <c r="I8" s="7" t="str">
        <f ca="1">INDIRECT(ADDRESS(22,6))&amp;":"&amp;INDIRECT(ADDRESS(22,7))</f>
        <v>13:5</v>
      </c>
      <c r="J8" s="7" t="str">
        <f ca="1">INDIRECT(ADDRESS(26,7))&amp;":"&amp;INDIRECT(ADDRESS(26,6))</f>
        <v>13:12</v>
      </c>
      <c r="K8" s="11" t="str">
        <f ca="1">INDIRECT(ADDRESS(40,6))&amp;":"&amp;INDIRECT(ADDRESS(40,7))</f>
        <v>13:2</v>
      </c>
      <c r="L8" s="245">
        <f ca="1">IF(COUNT(F9:K9)=0,"",COUNTIF(F9:K9,"&gt;0")+0.5*COUNTIF(F9:K9,0))</f>
        <v>3</v>
      </c>
      <c r="M8" s="16">
        <v>-5</v>
      </c>
      <c r="N8" s="246">
        <v>4</v>
      </c>
    </row>
    <row r="9" spans="2:14" ht="24" customHeight="1" x14ac:dyDescent="0.25">
      <c r="B9" s="132"/>
      <c r="C9" s="140"/>
      <c r="D9" s="141"/>
      <c r="E9" s="142"/>
      <c r="F9" s="22">
        <f ca="1">IF(LEN(INDIRECT(ADDRESS(ROW()-1, COLUMN())))=1,"",INDIRECT(ADDRESS(31,6))-INDIRECT(ADDRESS(31,7)))</f>
        <v>-11</v>
      </c>
      <c r="G9" s="16">
        <f ca="1">IF(LEN(INDIRECT(ADDRESS(ROW()-1, COLUMN())))=1,"",INDIRECT(ADDRESS(37,7))-INDIRECT(ADDRESS(37,6)))</f>
        <v>-6</v>
      </c>
      <c r="H9" s="14" t="s">
        <v>24</v>
      </c>
      <c r="I9" s="16">
        <f ca="1">IF(LEN(INDIRECT(ADDRESS(ROW()-1, COLUMN())))=1,"",INDIRECT(ADDRESS(22,6))-INDIRECT(ADDRESS(22,7)))</f>
        <v>8</v>
      </c>
      <c r="J9" s="16">
        <f ca="1">IF(LEN(INDIRECT(ADDRESS(ROW()-1, COLUMN())))=1,"",INDIRECT(ADDRESS(26,7))-INDIRECT(ADDRESS(26,6)))</f>
        <v>1</v>
      </c>
      <c r="K9" s="17">
        <f ca="1">IF(LEN(INDIRECT(ADDRESS(ROW()-1, COLUMN())))=1,"",INDIRECT(ADDRESS(40,6))-INDIRECT(ADDRESS(40,7)))</f>
        <v>11</v>
      </c>
      <c r="L9" s="245"/>
      <c r="M9" s="16">
        <f ca="1">IF(COUNT(F9:K9)=0,"",SUM(F9:K9))</f>
        <v>3</v>
      </c>
      <c r="N9" s="221"/>
    </row>
    <row r="10" spans="2:14" ht="24" customHeight="1" x14ac:dyDescent="0.25">
      <c r="B10" s="139">
        <v>4</v>
      </c>
      <c r="C10" s="140" t="s">
        <v>119</v>
      </c>
      <c r="D10" s="141"/>
      <c r="E10" s="142"/>
      <c r="F10" s="12" t="str">
        <f ca="1">INDIRECT(ADDRESS(36,7))&amp;":"&amp;INDIRECT(ADDRESS(36,6))</f>
        <v>3:13</v>
      </c>
      <c r="G10" s="7" t="str">
        <f ca="1">INDIRECT(ADDRESS(41,6))&amp;":"&amp;INDIRECT(ADDRESS(41,7))</f>
        <v>3:13</v>
      </c>
      <c r="H10" s="7" t="str">
        <f ca="1">INDIRECT(ADDRESS(22,7))&amp;":"&amp;INDIRECT(ADDRESS(22,6))</f>
        <v>5:13</v>
      </c>
      <c r="I10" s="8" t="s">
        <v>24</v>
      </c>
      <c r="J10" s="7" t="str">
        <f ca="1">INDIRECT(ADDRESS(32,6))&amp;":"&amp;INDIRECT(ADDRESS(32,7))</f>
        <v>8:13</v>
      </c>
      <c r="K10" s="11" t="str">
        <f ca="1">INDIRECT(ADDRESS(25,7))&amp;":"&amp;INDIRECT(ADDRESS(25,6))</f>
        <v>13:7</v>
      </c>
      <c r="L10" s="245">
        <f ca="1">IF(COUNT(F11:K11)=0,"",COUNTIF(F11:K11,"&gt;0")+0.5*COUNTIF(F11:K11,0))</f>
        <v>1</v>
      </c>
      <c r="M10" s="16"/>
      <c r="N10" s="246">
        <v>5</v>
      </c>
    </row>
    <row r="11" spans="2:14" ht="24" customHeight="1" x14ac:dyDescent="0.25">
      <c r="B11" s="132"/>
      <c r="C11" s="140"/>
      <c r="D11" s="141"/>
      <c r="E11" s="142"/>
      <c r="F11" s="22">
        <f ca="1">IF(LEN(INDIRECT(ADDRESS(ROW()-1, COLUMN())))=1,"",INDIRECT(ADDRESS(36,7))-INDIRECT(ADDRESS(36,6)))</f>
        <v>-10</v>
      </c>
      <c r="G11" s="16">
        <f ca="1">IF(LEN(INDIRECT(ADDRESS(ROW()-1, COLUMN())))=1,"",INDIRECT(ADDRESS(41,6))-INDIRECT(ADDRESS(41,7)))</f>
        <v>-10</v>
      </c>
      <c r="H11" s="16">
        <f ca="1">IF(LEN(INDIRECT(ADDRESS(ROW()-1, COLUMN())))=1,"",INDIRECT(ADDRESS(22,7))-INDIRECT(ADDRESS(22,6)))</f>
        <v>-8</v>
      </c>
      <c r="I11" s="14" t="s">
        <v>24</v>
      </c>
      <c r="J11" s="16">
        <f ca="1">IF(LEN(INDIRECT(ADDRESS(ROW()-1, COLUMN())))=1,"",INDIRECT(ADDRESS(32,6))-INDIRECT(ADDRESS(32,7)))</f>
        <v>-5</v>
      </c>
      <c r="K11" s="17">
        <f ca="1">IF(LEN(INDIRECT(ADDRESS(ROW()-1, COLUMN())))=1,"",INDIRECT(ADDRESS(25,7))-INDIRECT(ADDRESS(25,6)))</f>
        <v>6</v>
      </c>
      <c r="L11" s="245"/>
      <c r="M11" s="16">
        <f ca="1">IF(COUNT(F11:K11)=0,"",SUM(F11:K11))</f>
        <v>-27</v>
      </c>
      <c r="N11" s="221"/>
    </row>
    <row r="12" spans="2:14" ht="24" customHeight="1" x14ac:dyDescent="0.25">
      <c r="B12" s="139">
        <v>5</v>
      </c>
      <c r="C12" s="136" t="s">
        <v>120</v>
      </c>
      <c r="D12" s="137"/>
      <c r="E12" s="138"/>
      <c r="F12" s="12" t="str">
        <f ca="1">INDIRECT(ADDRESS(42,6))&amp;":"&amp;INDIRECT(ADDRESS(42,7))</f>
        <v>8:13</v>
      </c>
      <c r="G12" s="7" t="str">
        <f ca="1">INDIRECT(ADDRESS(21,7))&amp;":"&amp;INDIRECT(ADDRESS(21,6))</f>
        <v>13:5</v>
      </c>
      <c r="H12" s="7" t="str">
        <f ca="1">INDIRECT(ADDRESS(26,6))&amp;":"&amp;INDIRECT(ADDRESS(26,7))</f>
        <v>12:13</v>
      </c>
      <c r="I12" s="7" t="str">
        <f ca="1">INDIRECT(ADDRESS(32,7))&amp;":"&amp;INDIRECT(ADDRESS(32,6))</f>
        <v>13:8</v>
      </c>
      <c r="J12" s="8" t="s">
        <v>24</v>
      </c>
      <c r="K12" s="11" t="str">
        <f ca="1">INDIRECT(ADDRESS(35,7))&amp;":"&amp;INDIRECT(ADDRESS(35,6))</f>
        <v>13:5</v>
      </c>
      <c r="L12" s="245">
        <f ca="1">IF(COUNT(F13:K13)=0,"",COUNTIF(F13:K13,"&gt;0")+0.5*COUNTIF(F13:K13,0))</f>
        <v>3</v>
      </c>
      <c r="M12" s="16">
        <v>7</v>
      </c>
      <c r="N12" s="246">
        <v>2</v>
      </c>
    </row>
    <row r="13" spans="2:14" ht="24" customHeight="1" x14ac:dyDescent="0.25">
      <c r="B13" s="132"/>
      <c r="C13" s="136"/>
      <c r="D13" s="137"/>
      <c r="E13" s="138"/>
      <c r="F13" s="22">
        <f ca="1">IF(LEN(INDIRECT(ADDRESS(ROW()-1, COLUMN())))=1,"",INDIRECT(ADDRESS(42,6))-INDIRECT(ADDRESS(42,7)))</f>
        <v>-5</v>
      </c>
      <c r="G13" s="16">
        <f ca="1">IF(LEN(INDIRECT(ADDRESS(ROW()-1, COLUMN())))=1,"",INDIRECT(ADDRESS(21,7))-INDIRECT(ADDRESS(21,6)))</f>
        <v>8</v>
      </c>
      <c r="H13" s="16">
        <f ca="1">IF(LEN(INDIRECT(ADDRESS(ROW()-1, COLUMN())))=1,"",INDIRECT(ADDRESS(26,6))-INDIRECT(ADDRESS(26,7)))</f>
        <v>-1</v>
      </c>
      <c r="I13" s="16">
        <f ca="1">IF(LEN(INDIRECT(ADDRESS(ROW()-1, COLUMN())))=1,"",INDIRECT(ADDRESS(32,7))-INDIRECT(ADDRESS(32,6)))</f>
        <v>5</v>
      </c>
      <c r="J13" s="14" t="s">
        <v>24</v>
      </c>
      <c r="K13" s="17">
        <f ca="1">IF(LEN(INDIRECT(ADDRESS(ROW()-1, COLUMN())))=1,"",INDIRECT(ADDRESS(35,7))-INDIRECT(ADDRESS(35,6)))</f>
        <v>8</v>
      </c>
      <c r="L13" s="245"/>
      <c r="M13" s="16">
        <f ca="1">IF(COUNT(F13:K13)=0,"",SUM(F13:K13))</f>
        <v>15</v>
      </c>
      <c r="N13" s="221"/>
    </row>
    <row r="14" spans="2:14" ht="24" customHeight="1" x14ac:dyDescent="0.25">
      <c r="B14" s="139">
        <v>6</v>
      </c>
      <c r="C14" s="140" t="s">
        <v>121</v>
      </c>
      <c r="D14" s="141"/>
      <c r="E14" s="142"/>
      <c r="F14" s="12" t="str">
        <f ca="1">INDIRECT(ADDRESS(20,7))&amp;":"&amp;INDIRECT(ADDRESS(20,6))</f>
        <v>7:13</v>
      </c>
      <c r="G14" s="7" t="str">
        <f ca="1">INDIRECT(ADDRESS(30,7))&amp;":"&amp;INDIRECT(ADDRESS(30,6))</f>
        <v>2:13</v>
      </c>
      <c r="H14" s="7" t="str">
        <f ca="1">INDIRECT(ADDRESS(40,7))&amp;":"&amp;INDIRECT(ADDRESS(40,6))</f>
        <v>2:13</v>
      </c>
      <c r="I14" s="7" t="str">
        <f ca="1">INDIRECT(ADDRESS(25,6))&amp;":"&amp;INDIRECT(ADDRESS(25,7))</f>
        <v>7:13</v>
      </c>
      <c r="J14" s="7" t="str">
        <f ca="1">INDIRECT(ADDRESS(35,6))&amp;":"&amp;INDIRECT(ADDRESS(35,7))</f>
        <v>5:13</v>
      </c>
      <c r="K14" s="34" t="s">
        <v>24</v>
      </c>
      <c r="L14" s="245">
        <f ca="1">IF(COUNT(F15:K15)=0,"",COUNTIF(F15:K15,"&gt;0")+0.5*COUNTIF(F15:K15,0))</f>
        <v>0</v>
      </c>
      <c r="M14" s="16"/>
      <c r="N14" s="246">
        <v>6</v>
      </c>
    </row>
    <row r="15" spans="2:14" ht="24" customHeight="1" thickBot="1" x14ac:dyDescent="0.3">
      <c r="B15" s="143"/>
      <c r="C15" s="144"/>
      <c r="D15" s="145"/>
      <c r="E15" s="146"/>
      <c r="F15" s="19">
        <f ca="1">IF(LEN(INDIRECT(ADDRESS(ROW()-1, COLUMN())))=1,"",INDIRECT(ADDRESS(20,7))-INDIRECT(ADDRESS(20,6)))</f>
        <v>-6</v>
      </c>
      <c r="G15" s="18">
        <f ca="1">IF(LEN(INDIRECT(ADDRESS(ROW()-1, COLUMN())))=1,"",INDIRECT(ADDRESS(30,7))-INDIRECT(ADDRESS(30,6)))</f>
        <v>-11</v>
      </c>
      <c r="H15" s="18">
        <f ca="1">IF(LEN(INDIRECT(ADDRESS(ROW()-1, COLUMN())))=1,"",INDIRECT(ADDRESS(40,7))-INDIRECT(ADDRESS(40,6)))</f>
        <v>-11</v>
      </c>
      <c r="I15" s="18">
        <f ca="1">IF(LEN(INDIRECT(ADDRESS(ROW()-1, COLUMN())))=1,"",INDIRECT(ADDRESS(25,6))-INDIRECT(ADDRESS(25,7)))</f>
        <v>-6</v>
      </c>
      <c r="J15" s="18">
        <f ca="1">IF(LEN(INDIRECT(ADDRESS(ROW()-1, COLUMN())))=1,"",INDIRECT(ADDRESS(35,6))-INDIRECT(ADDRESS(35,7)))</f>
        <v>-8</v>
      </c>
      <c r="K15" s="15" t="s">
        <v>24</v>
      </c>
      <c r="L15" s="248"/>
      <c r="M15" s="18">
        <f ca="1">IF(COUNT(F15:K15)=0,"",SUM(F15:K15))</f>
        <v>-42</v>
      </c>
      <c r="N15" s="247"/>
    </row>
    <row r="16" spans="2:14" x14ac:dyDescent="0.25">
      <c r="M16"/>
    </row>
    <row r="17" spans="2:13" x14ac:dyDescent="0.25">
      <c r="M17"/>
    </row>
    <row r="18" spans="2:13" x14ac:dyDescent="0.25">
      <c r="M18"/>
    </row>
    <row r="19" spans="2:13" ht="30" customHeight="1" thickBot="1" x14ac:dyDescent="0.3">
      <c r="B19" s="147" t="s">
        <v>4</v>
      </c>
      <c r="C19" s="147"/>
      <c r="D19" s="147"/>
      <c r="E19" s="147"/>
      <c r="F19" s="147"/>
      <c r="G19" s="147"/>
      <c r="H19" s="147"/>
      <c r="I19" s="147"/>
      <c r="J19" s="147"/>
      <c r="K19" s="147"/>
      <c r="M19"/>
    </row>
    <row r="20" spans="2:13" ht="30" customHeight="1" thickBot="1" x14ac:dyDescent="0.3">
      <c r="B20" s="5">
        <v>1</v>
      </c>
      <c r="C20" s="177" t="str">
        <f ca="1">IF(ISBLANK(INDIRECT(ADDRESS(B20*2+2,3))),"",INDIRECT(ADDRESS(B20*2+2,3)))</f>
        <v>Лямунов Никита</v>
      </c>
      <c r="D20" s="177"/>
      <c r="E20" s="178"/>
      <c r="F20" s="24">
        <v>13</v>
      </c>
      <c r="G20" s="25">
        <v>7</v>
      </c>
      <c r="H20" s="181" t="str">
        <f ca="1">IF(ISBLANK(INDIRECT(ADDRESS(K20*2+2,3))),"",INDIRECT(ADDRESS(K20*2+2,3)))</f>
        <v>Самыко Андрей</v>
      </c>
      <c r="I20" s="177"/>
      <c r="J20" s="177"/>
      <c r="K20" s="5">
        <v>6</v>
      </c>
      <c r="L20" s="27" t="s">
        <v>10</v>
      </c>
      <c r="M20" s="26"/>
    </row>
    <row r="21" spans="2:13" ht="30" customHeight="1" thickBot="1" x14ac:dyDescent="0.3">
      <c r="B21" s="5">
        <v>2</v>
      </c>
      <c r="C21" s="177" t="str">
        <f ca="1">IF(ISBLANK(INDIRECT(ADDRESS(B21*2+2,3))),"",INDIRECT(ADDRESS(B21*2+2,3)))</f>
        <v>Сафонов Сергей</v>
      </c>
      <c r="D21" s="177"/>
      <c r="E21" s="178"/>
      <c r="F21" s="24">
        <v>5</v>
      </c>
      <c r="G21" s="25">
        <v>13</v>
      </c>
      <c r="H21" s="181" t="str">
        <f ca="1">IF(ISBLANK(INDIRECT(ADDRESS(K21*2+2,3))),"",INDIRECT(ADDRESS(K21*2+2,3)))</f>
        <v>Манукян Альберт</v>
      </c>
      <c r="I21" s="177"/>
      <c r="J21" s="177"/>
      <c r="K21" s="5">
        <v>5</v>
      </c>
      <c r="L21" s="27" t="s">
        <v>10</v>
      </c>
      <c r="M21" s="26"/>
    </row>
    <row r="22" spans="2:13" ht="30" customHeight="1" thickBot="1" x14ac:dyDescent="0.3">
      <c r="B22" s="5">
        <v>3</v>
      </c>
      <c r="C22" s="177" t="str">
        <f ca="1">IF(ISBLANK(INDIRECT(ADDRESS(B22*2+2,3))),"",INDIRECT(ADDRESS(B22*2+2,3)))</f>
        <v>Федотов Николай</v>
      </c>
      <c r="D22" s="177"/>
      <c r="E22" s="178"/>
      <c r="F22" s="24">
        <v>13</v>
      </c>
      <c r="G22" s="25">
        <v>5</v>
      </c>
      <c r="H22" s="181" t="str">
        <f ca="1">IF(ISBLANK(INDIRECT(ADDRESS(K22*2+2,3))),"",INDIRECT(ADDRESS(K22*2+2,3)))</f>
        <v>Савельев Игорь</v>
      </c>
      <c r="I22" s="177"/>
      <c r="J22" s="177"/>
      <c r="K22" s="5">
        <v>4</v>
      </c>
      <c r="L22" s="27" t="s">
        <v>10</v>
      </c>
      <c r="M22" s="26"/>
    </row>
    <row r="23" spans="2:13" ht="30" customHeight="1" x14ac:dyDescent="0.25"/>
    <row r="24" spans="2:13" ht="30" customHeight="1" thickBot="1" x14ac:dyDescent="0.3">
      <c r="B24" s="147" t="s">
        <v>5</v>
      </c>
      <c r="C24" s="147"/>
      <c r="D24" s="147"/>
      <c r="E24" s="147"/>
      <c r="F24" s="147"/>
      <c r="G24" s="147"/>
      <c r="H24" s="147"/>
      <c r="I24" s="147"/>
      <c r="J24" s="147"/>
      <c r="K24" s="147"/>
    </row>
    <row r="25" spans="2:13" ht="30" customHeight="1" thickBot="1" x14ac:dyDescent="0.3">
      <c r="B25" s="5">
        <v>6</v>
      </c>
      <c r="C25" s="177" t="str">
        <f ca="1">IF(ISBLANK(INDIRECT(ADDRESS(B25*2+2,3))),"",INDIRECT(ADDRESS(B25*2+2,3)))</f>
        <v>Самыко Андрей</v>
      </c>
      <c r="D25" s="177"/>
      <c r="E25" s="178"/>
      <c r="F25" s="24">
        <v>7</v>
      </c>
      <c r="G25" s="25">
        <v>13</v>
      </c>
      <c r="H25" s="181" t="str">
        <f ca="1">IF(ISBLANK(INDIRECT(ADDRESS(K25*2+2,3))),"",INDIRECT(ADDRESS(K25*2+2,3)))</f>
        <v>Савельев Игорь</v>
      </c>
      <c r="I25" s="177"/>
      <c r="J25" s="177"/>
      <c r="K25" s="5">
        <v>4</v>
      </c>
      <c r="L25" s="27" t="s">
        <v>10</v>
      </c>
      <c r="M25" s="26"/>
    </row>
    <row r="26" spans="2:13" ht="30" customHeight="1" thickBot="1" x14ac:dyDescent="0.3">
      <c r="B26" s="5">
        <v>5</v>
      </c>
      <c r="C26" s="177" t="str">
        <f ca="1">IF(ISBLANK(INDIRECT(ADDRESS(B26*2+2,3))),"",INDIRECT(ADDRESS(B26*2+2,3)))</f>
        <v>Манукян Альберт</v>
      </c>
      <c r="D26" s="177"/>
      <c r="E26" s="178"/>
      <c r="F26" s="24">
        <v>12</v>
      </c>
      <c r="G26" s="25">
        <v>13</v>
      </c>
      <c r="H26" s="181" t="str">
        <f ca="1">IF(ISBLANK(INDIRECT(ADDRESS(K26*2+2,3))),"",INDIRECT(ADDRESS(K26*2+2,3)))</f>
        <v>Федотов Николай</v>
      </c>
      <c r="I26" s="177"/>
      <c r="J26" s="177"/>
      <c r="K26" s="5">
        <v>3</v>
      </c>
      <c r="L26" s="27" t="s">
        <v>10</v>
      </c>
      <c r="M26" s="26"/>
    </row>
    <row r="27" spans="2:13" ht="30" customHeight="1" thickBot="1" x14ac:dyDescent="0.3">
      <c r="B27" s="5">
        <v>1</v>
      </c>
      <c r="C27" s="177" t="str">
        <f ca="1">IF(ISBLANK(INDIRECT(ADDRESS(B27*2+2,3))),"",INDIRECT(ADDRESS(B27*2+2,3)))</f>
        <v>Лямунов Никита</v>
      </c>
      <c r="D27" s="177"/>
      <c r="E27" s="178"/>
      <c r="F27" s="24">
        <v>13</v>
      </c>
      <c r="G27" s="25">
        <v>10</v>
      </c>
      <c r="H27" s="181" t="str">
        <f ca="1">IF(ISBLANK(INDIRECT(ADDRESS(K27*2+2,3))),"",INDIRECT(ADDRESS(K27*2+2,3)))</f>
        <v>Сафонов Сергей</v>
      </c>
      <c r="I27" s="177"/>
      <c r="J27" s="177"/>
      <c r="K27" s="5">
        <v>2</v>
      </c>
      <c r="L27" s="27" t="s">
        <v>10</v>
      </c>
      <c r="M27" s="26"/>
    </row>
    <row r="28" spans="2:13" ht="30" customHeight="1" x14ac:dyDescent="0.25"/>
    <row r="29" spans="2:13" ht="30" customHeight="1" thickBot="1" x14ac:dyDescent="0.3">
      <c r="B29" s="147" t="s">
        <v>6</v>
      </c>
      <c r="C29" s="147"/>
      <c r="D29" s="147"/>
      <c r="E29" s="147"/>
      <c r="F29" s="147"/>
      <c r="G29" s="147"/>
      <c r="H29" s="147"/>
      <c r="I29" s="147"/>
      <c r="J29" s="147"/>
      <c r="K29" s="147"/>
    </row>
    <row r="30" spans="2:13" ht="30" customHeight="1" thickBot="1" x14ac:dyDescent="0.3">
      <c r="B30" s="5">
        <v>2</v>
      </c>
      <c r="C30" s="177" t="str">
        <f ca="1">IF(ISBLANK(INDIRECT(ADDRESS(B30*2+2,3))),"",INDIRECT(ADDRESS(B30*2+2,3)))</f>
        <v>Сафонов Сергей</v>
      </c>
      <c r="D30" s="177"/>
      <c r="E30" s="178"/>
      <c r="F30" s="24">
        <v>13</v>
      </c>
      <c r="G30" s="25">
        <v>2</v>
      </c>
      <c r="H30" s="181" t="str">
        <f ca="1">IF(ISBLANK(INDIRECT(ADDRESS(K30*2+2,3))),"",INDIRECT(ADDRESS(K30*2+2,3)))</f>
        <v>Самыко Андрей</v>
      </c>
      <c r="I30" s="177"/>
      <c r="J30" s="177"/>
      <c r="K30" s="5">
        <v>6</v>
      </c>
      <c r="L30" s="27" t="s">
        <v>10</v>
      </c>
      <c r="M30" s="26"/>
    </row>
    <row r="31" spans="2:13" ht="30" customHeight="1" thickBot="1" x14ac:dyDescent="0.3">
      <c r="B31" s="5">
        <v>3</v>
      </c>
      <c r="C31" s="177" t="str">
        <f ca="1">IF(ISBLANK(INDIRECT(ADDRESS(B31*2+2,3))),"",INDIRECT(ADDRESS(B31*2+2,3)))</f>
        <v>Федотов Николай</v>
      </c>
      <c r="D31" s="177"/>
      <c r="E31" s="178"/>
      <c r="F31" s="24">
        <v>2</v>
      </c>
      <c r="G31" s="25">
        <v>13</v>
      </c>
      <c r="H31" s="181" t="str">
        <f ca="1">IF(ISBLANK(INDIRECT(ADDRESS(K31*2+2,3))),"",INDIRECT(ADDRESS(K31*2+2,3)))</f>
        <v>Лямунов Никита</v>
      </c>
      <c r="I31" s="177"/>
      <c r="J31" s="177"/>
      <c r="K31" s="5">
        <v>1</v>
      </c>
      <c r="L31" s="27" t="s">
        <v>10</v>
      </c>
      <c r="M31" s="26"/>
    </row>
    <row r="32" spans="2:13" ht="30" customHeight="1" thickBot="1" x14ac:dyDescent="0.3">
      <c r="B32" s="5">
        <v>4</v>
      </c>
      <c r="C32" s="177" t="str">
        <f ca="1">IF(ISBLANK(INDIRECT(ADDRESS(B32*2+2,3))),"",INDIRECT(ADDRESS(B32*2+2,3)))</f>
        <v>Савельев Игорь</v>
      </c>
      <c r="D32" s="177"/>
      <c r="E32" s="178"/>
      <c r="F32" s="24">
        <v>8</v>
      </c>
      <c r="G32" s="25">
        <v>13</v>
      </c>
      <c r="H32" s="181" t="str">
        <f ca="1">IF(ISBLANK(INDIRECT(ADDRESS(K32*2+2,3))),"",INDIRECT(ADDRESS(K32*2+2,3)))</f>
        <v>Манукян Альберт</v>
      </c>
      <c r="I32" s="177"/>
      <c r="J32" s="177"/>
      <c r="K32" s="5">
        <v>5</v>
      </c>
      <c r="L32" s="27" t="s">
        <v>10</v>
      </c>
      <c r="M32" s="26"/>
    </row>
    <row r="33" spans="2:13" ht="30" customHeight="1" x14ac:dyDescent="0.25"/>
    <row r="34" spans="2:13" ht="30" customHeight="1" thickBot="1" x14ac:dyDescent="0.3">
      <c r="B34" s="147" t="s">
        <v>7</v>
      </c>
      <c r="C34" s="147"/>
      <c r="D34" s="147"/>
      <c r="E34" s="147"/>
      <c r="F34" s="147"/>
      <c r="G34" s="147"/>
      <c r="H34" s="147"/>
      <c r="I34" s="147"/>
      <c r="J34" s="147"/>
      <c r="K34" s="147"/>
    </row>
    <row r="35" spans="2:13" ht="30" customHeight="1" thickBot="1" x14ac:dyDescent="0.3">
      <c r="B35" s="5">
        <v>6</v>
      </c>
      <c r="C35" s="177" t="str">
        <f ca="1">IF(ISBLANK(INDIRECT(ADDRESS(B35*2+2,3))),"",INDIRECT(ADDRESS(B35*2+2,3)))</f>
        <v>Самыко Андрей</v>
      </c>
      <c r="D35" s="177"/>
      <c r="E35" s="178"/>
      <c r="F35" s="24">
        <v>5</v>
      </c>
      <c r="G35" s="25">
        <v>13</v>
      </c>
      <c r="H35" s="181" t="str">
        <f ca="1">IF(ISBLANK(INDIRECT(ADDRESS(K35*2+2,3))),"",INDIRECT(ADDRESS(K35*2+2,3)))</f>
        <v>Манукян Альберт</v>
      </c>
      <c r="I35" s="177"/>
      <c r="J35" s="177"/>
      <c r="K35" s="5">
        <v>5</v>
      </c>
      <c r="L35" s="27" t="s">
        <v>10</v>
      </c>
      <c r="M35" s="26"/>
    </row>
    <row r="36" spans="2:13" ht="30" customHeight="1" thickBot="1" x14ac:dyDescent="0.3">
      <c r="B36" s="5">
        <v>1</v>
      </c>
      <c r="C36" s="177" t="str">
        <f ca="1">IF(ISBLANK(INDIRECT(ADDRESS(B36*2+2,3))),"",INDIRECT(ADDRESS(B36*2+2,3)))</f>
        <v>Лямунов Никита</v>
      </c>
      <c r="D36" s="177"/>
      <c r="E36" s="178"/>
      <c r="F36" s="24">
        <v>13</v>
      </c>
      <c r="G36" s="25">
        <v>3</v>
      </c>
      <c r="H36" s="181" t="str">
        <f ca="1">IF(ISBLANK(INDIRECT(ADDRESS(K36*2+2,3))),"",INDIRECT(ADDRESS(K36*2+2,3)))</f>
        <v>Савельев Игорь</v>
      </c>
      <c r="I36" s="177"/>
      <c r="J36" s="177"/>
      <c r="K36" s="5">
        <v>4</v>
      </c>
      <c r="L36" s="27" t="s">
        <v>10</v>
      </c>
      <c r="M36" s="26"/>
    </row>
    <row r="37" spans="2:13" ht="30" customHeight="1" thickBot="1" x14ac:dyDescent="0.3">
      <c r="B37" s="5">
        <v>2</v>
      </c>
      <c r="C37" s="177" t="str">
        <f ca="1">IF(ISBLANK(INDIRECT(ADDRESS(B37*2+2,3))),"",INDIRECT(ADDRESS(B37*2+2,3)))</f>
        <v>Сафонов Сергей</v>
      </c>
      <c r="D37" s="177"/>
      <c r="E37" s="178"/>
      <c r="F37" s="24">
        <v>13</v>
      </c>
      <c r="G37" s="25">
        <v>7</v>
      </c>
      <c r="H37" s="181" t="str">
        <f ca="1">IF(ISBLANK(INDIRECT(ADDRESS(K37*2+2,3))),"",INDIRECT(ADDRESS(K37*2+2,3)))</f>
        <v>Федотов Николай</v>
      </c>
      <c r="I37" s="177"/>
      <c r="J37" s="177"/>
      <c r="K37" s="5">
        <v>3</v>
      </c>
      <c r="L37" s="27" t="s">
        <v>10</v>
      </c>
      <c r="M37" s="26"/>
    </row>
    <row r="38" spans="2:13" ht="30" customHeight="1" x14ac:dyDescent="0.25"/>
    <row r="39" spans="2:13" ht="30" customHeight="1" thickBot="1" x14ac:dyDescent="0.3">
      <c r="B39" s="147" t="s">
        <v>8</v>
      </c>
      <c r="C39" s="147"/>
      <c r="D39" s="147"/>
      <c r="E39" s="147"/>
      <c r="F39" s="147"/>
      <c r="G39" s="147"/>
      <c r="H39" s="147"/>
      <c r="I39" s="147"/>
      <c r="J39" s="147"/>
      <c r="K39" s="147"/>
    </row>
    <row r="40" spans="2:13" ht="30" customHeight="1" thickBot="1" x14ac:dyDescent="0.3">
      <c r="B40" s="5">
        <v>3</v>
      </c>
      <c r="C40" s="177" t="str">
        <f ca="1">IF(ISBLANK(INDIRECT(ADDRESS(B40*2+2,3))),"",INDIRECT(ADDRESS(B40*2+2,3)))</f>
        <v>Федотов Николай</v>
      </c>
      <c r="D40" s="177"/>
      <c r="E40" s="178"/>
      <c r="F40" s="24">
        <v>13</v>
      </c>
      <c r="G40" s="25">
        <v>2</v>
      </c>
      <c r="H40" s="181" t="str">
        <f ca="1">IF(ISBLANK(INDIRECT(ADDRESS(K40*2+2,3))),"",INDIRECT(ADDRESS(K40*2+2,3)))</f>
        <v>Самыко Андрей</v>
      </c>
      <c r="I40" s="177"/>
      <c r="J40" s="177"/>
      <c r="K40" s="5">
        <v>6</v>
      </c>
      <c r="L40" s="27" t="s">
        <v>10</v>
      </c>
      <c r="M40" s="26"/>
    </row>
    <row r="41" spans="2:13" ht="30" customHeight="1" thickBot="1" x14ac:dyDescent="0.3">
      <c r="B41" s="5">
        <v>4</v>
      </c>
      <c r="C41" s="177" t="str">
        <f ca="1">IF(ISBLANK(INDIRECT(ADDRESS(B41*2+2,3))),"",INDIRECT(ADDRESS(B41*2+2,3)))</f>
        <v>Савельев Игорь</v>
      </c>
      <c r="D41" s="177"/>
      <c r="E41" s="178"/>
      <c r="F41" s="24">
        <v>3</v>
      </c>
      <c r="G41" s="25">
        <v>13</v>
      </c>
      <c r="H41" s="181" t="str">
        <f ca="1">IF(ISBLANK(INDIRECT(ADDRESS(K41*2+2,3))),"",INDIRECT(ADDRESS(K41*2+2,3)))</f>
        <v>Сафонов Сергей</v>
      </c>
      <c r="I41" s="177"/>
      <c r="J41" s="177"/>
      <c r="K41" s="5">
        <v>2</v>
      </c>
      <c r="L41" s="27" t="s">
        <v>10</v>
      </c>
      <c r="M41" s="26"/>
    </row>
    <row r="42" spans="2:13" ht="30" customHeight="1" thickBot="1" x14ac:dyDescent="0.3">
      <c r="B42" s="5">
        <v>5</v>
      </c>
      <c r="C42" s="177" t="str">
        <f ca="1">IF(ISBLANK(INDIRECT(ADDRESS(B42*2+2,3))),"",INDIRECT(ADDRESS(B42*2+2,3)))</f>
        <v>Манукян Альберт</v>
      </c>
      <c r="D42" s="177"/>
      <c r="E42" s="178"/>
      <c r="F42" s="24">
        <v>8</v>
      </c>
      <c r="G42" s="25">
        <v>13</v>
      </c>
      <c r="H42" s="181" t="str">
        <f ca="1">IF(ISBLANK(INDIRECT(ADDRESS(K42*2+2,3))),"",INDIRECT(ADDRESS(K42*2+2,3)))</f>
        <v>Лямунов Никита</v>
      </c>
      <c r="I42" s="177"/>
      <c r="J42" s="177"/>
      <c r="K42" s="5">
        <v>1</v>
      </c>
      <c r="L42" s="27" t="s">
        <v>10</v>
      </c>
      <c r="M42" s="26"/>
    </row>
  </sheetData>
  <mergeCells count="61">
    <mergeCell ref="N4:N5"/>
    <mergeCell ref="B1:K1"/>
    <mergeCell ref="C3:E3"/>
    <mergeCell ref="B4:B5"/>
    <mergeCell ref="C4:E5"/>
    <mergeCell ref="L4:L5"/>
    <mergeCell ref="B6:B7"/>
    <mergeCell ref="C6:E7"/>
    <mergeCell ref="L6:L7"/>
    <mergeCell ref="N6:N7"/>
    <mergeCell ref="B8:B9"/>
    <mergeCell ref="C8:E9"/>
    <mergeCell ref="L8:L9"/>
    <mergeCell ref="N8:N9"/>
    <mergeCell ref="N14:N15"/>
    <mergeCell ref="B19:K19"/>
    <mergeCell ref="C20:E20"/>
    <mergeCell ref="H20:J20"/>
    <mergeCell ref="B10:B11"/>
    <mergeCell ref="C10:E11"/>
    <mergeCell ref="L10:L11"/>
    <mergeCell ref="N10:N11"/>
    <mergeCell ref="B12:B13"/>
    <mergeCell ref="C12:E13"/>
    <mergeCell ref="L12:L13"/>
    <mergeCell ref="N12:N13"/>
    <mergeCell ref="C25:E25"/>
    <mergeCell ref="H25:J25"/>
    <mergeCell ref="B14:B15"/>
    <mergeCell ref="C14:E15"/>
    <mergeCell ref="L14:L15"/>
    <mergeCell ref="C21:E21"/>
    <mergeCell ref="H21:J21"/>
    <mergeCell ref="C22:E22"/>
    <mergeCell ref="H22:J22"/>
    <mergeCell ref="B24:K24"/>
    <mergeCell ref="C35:E35"/>
    <mergeCell ref="H35:J35"/>
    <mergeCell ref="C26:E26"/>
    <mergeCell ref="H26:J26"/>
    <mergeCell ref="C27:E27"/>
    <mergeCell ref="H27:J27"/>
    <mergeCell ref="B29:K29"/>
    <mergeCell ref="C30:E30"/>
    <mergeCell ref="H30:J30"/>
    <mergeCell ref="C31:E31"/>
    <mergeCell ref="H31:J31"/>
    <mergeCell ref="C32:E32"/>
    <mergeCell ref="H32:J32"/>
    <mergeCell ref="B34:K34"/>
    <mergeCell ref="C41:E41"/>
    <mergeCell ref="H41:J41"/>
    <mergeCell ref="C42:E42"/>
    <mergeCell ref="H42:J42"/>
    <mergeCell ref="C36:E36"/>
    <mergeCell ref="H36:J36"/>
    <mergeCell ref="C37:E37"/>
    <mergeCell ref="H37:J37"/>
    <mergeCell ref="B39:K39"/>
    <mergeCell ref="C40:E40"/>
    <mergeCell ref="H40:J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ПоМ1</vt:lpstr>
      <vt:lpstr>ПоМ2</vt:lpstr>
      <vt:lpstr>ПоМ3</vt:lpstr>
      <vt:lpstr>ТМ1</vt:lpstr>
      <vt:lpstr>ТМ2</vt:lpstr>
      <vt:lpstr>ТМ3</vt:lpstr>
      <vt:lpstr>ПМ1</vt:lpstr>
      <vt:lpstr>ПМ2</vt:lpstr>
      <vt:lpstr>ПМ3</vt:lpstr>
      <vt:lpstr>ПМ4</vt:lpstr>
      <vt:lpstr>НМ1</vt:lpstr>
      <vt:lpstr>ДМ1</vt:lpstr>
      <vt:lpstr>ММ1</vt:lpstr>
      <vt:lpstr>ММ2</vt:lpstr>
      <vt:lpstr>ММ3</vt:lpstr>
      <vt:lpstr>ММ4</vt:lpstr>
      <vt:lpstr>ММ5</vt:lpstr>
      <vt:lpstr>ММ6</vt:lpstr>
      <vt:lpstr>ММ7</vt:lpstr>
      <vt:lpstr>ПЗМ1</vt:lpstr>
      <vt:lpstr>КМ1</vt:lpstr>
      <vt:lpstr>КМ2</vt:lpstr>
      <vt:lpstr>Лист ож Москва</vt:lpstr>
      <vt:lpstr>Финалисты</vt:lpstr>
      <vt:lpstr>Служебный лист</vt:lpstr>
    </vt:vector>
  </TitlesOfParts>
  <Company>Домашний компьютер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Крапиль</dc:creator>
  <cp:lastModifiedBy>Тихонов Дмитрий</cp:lastModifiedBy>
  <cp:lastPrinted>2026-01-25T11:40:06Z</cp:lastPrinted>
  <dcterms:created xsi:type="dcterms:W3CDTF">2009-05-19T09:37:33Z</dcterms:created>
  <dcterms:modified xsi:type="dcterms:W3CDTF">2026-01-28T07:09:25Z</dcterms:modified>
</cp:coreProperties>
</file>